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8C93TTzEP4f280z4rVe77Z8wnxr+LIAG53wSJwPd9ePvwurJD1t859PBaF9nXk92Kim5GVxYfcbOu9M/7x/DhA==" workbookSaltValue="MGkv5pqhbcHwdSctvDrq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P17"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BF10" i="11"/>
  <c r="S13" i="16"/>
  <c r="H18" i="16"/>
  <c r="BN18" i="16"/>
  <c r="P13" i="16"/>
  <c r="AM13" i="20"/>
  <c r="AN13" i="20"/>
  <c r="AT17" i="20"/>
  <c r="Z13" i="17"/>
  <c r="N13" i="2"/>
  <c r="T13" i="12"/>
  <c r="BJ11" i="11"/>
  <c r="BU15" i="17"/>
  <c r="BV10" i="16"/>
  <c r="S15" i="16"/>
  <c r="BH11" i="11"/>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D13" i="7"/>
  <c r="BE12" i="8"/>
  <c r="I12" i="7" s="1"/>
  <c r="BG12" i="8"/>
  <c r="K12" i="7" s="1"/>
  <c r="R19" i="8"/>
  <c r="BG10" i="8"/>
  <c r="T19" i="8"/>
  <c r="H9" i="7"/>
  <c r="C12" i="14"/>
  <c r="K12" i="14" s="1"/>
  <c r="L17" i="2"/>
  <c r="BH12" i="16"/>
  <c r="BL10" i="11"/>
  <c r="AA17" i="16"/>
  <c r="BW16" i="20"/>
  <c r="BL11" i="11"/>
  <c r="AP10" i="21"/>
  <c r="BM16" i="11"/>
  <c r="F17" i="17"/>
  <c r="AQ17" i="17" s="1"/>
  <c r="E12" i="6"/>
  <c r="V10" i="16"/>
  <c r="S17" i="17"/>
  <c r="BJ10" i="11"/>
  <c r="BF12" i="11"/>
  <c r="X15" i="17"/>
  <c r="BU16" i="17"/>
  <c r="BW15" i="20"/>
  <c r="BW17" i="20"/>
  <c r="BM15" i="11"/>
  <c r="BI17" i="11"/>
  <c r="BH9" i="11"/>
  <c r="BK15" i="11"/>
  <c r="BL17" i="11"/>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X12" i="21"/>
  <c r="BF11" i="11"/>
  <c r="BL9" i="11"/>
  <c r="BG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5" i="12" l="1"/>
  <c r="J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<sst xmlns="http://schemas.openxmlformats.org/spreadsheetml/2006/main" count="2094" uniqueCount="913">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</sst>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M1oUhoHEqwk6dzonEVpqQ2huwOd4uOk/UNPsni+cG5cevntY2I51nBrJSXKQHz4FdKdKL+o+u3hcYQ6XPE15w==" saltValue="749I2MOkdvK4LftmTEqM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2</v>
      </c>
      <c r="F10" s="229">
        <f>IF(ISNUMBER(Datos!K10),Datos!K10," - ")</f>
        <v>8</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-0.54545454545454541</v>
      </c>
      <c r="L10" s="1028">
        <f>IF(ISNUMBER(NºAsuntos!I10/NºAsuntos!G10),(NºAsuntos!I10/NºAsuntos!G10)*11," - ")</f>
        <v>6.875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37.747368421052634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2</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183</v>
      </c>
      <c r="D16" s="228">
        <f>IF(ISNUMBER(IF(D_I="SI",Datos!I16,Datos!I16+Datos!AC16)),IF(D_I="SI",Datos!I16,Datos!I16+Datos!AC16)," - ")</f>
        <v>181</v>
      </c>
      <c r="E16" s="229">
        <f>IF(ISNUMBER(IF(D_I="SI",Datos!J16,Datos!J16+Datos!AD16)),IF(D_I="SI",Datos!J16,Datos!J16+Datos!AD16)," - ")</f>
        <v>176</v>
      </c>
      <c r="F16" s="229">
        <f>IF(ISNUMBER(IF(D_I="SI",Datos!K16,Datos!K16+Datos!AE16)),IF(D_I="SI",Datos!K16,Datos!K16+Datos!AE16)," - ")</f>
        <v>195</v>
      </c>
      <c r="G16" s="1037" t="str">
        <f>IF(Datos!E16&lt;&gt;"",Datos!E16,Datos!D16)</f>
        <v>04</v>
      </c>
      <c r="H16" s="230">
        <f>IF(ISNUMBER(IF(D_I="SI",Datos!L16,Datos!L16+Datos!AF16)),IF(D_I="SI",Datos!L16,Datos!L16+Datos!AF16)," - ")</f>
        <v>164</v>
      </c>
      <c r="I16" s="1047" t="str">
        <f>IF(ISNUMBER(Datos!AS16/Datos!BM16),Datos!AS16/Datos!BM16," - ")</f>
        <v xml:space="preserve"> - </v>
      </c>
      <c r="J16" s="1048">
        <f>IF(ISNUMBER(Datos!BY16/Datos!CN16),Datos!BY16/Datos!CN16," - ")</f>
        <v>0</v>
      </c>
      <c r="K16" s="233">
        <f t="shared" si="3"/>
        <v>-0.10382513661202186</v>
      </c>
      <c r="L16" s="1028">
        <f>IF(ISNUMBER(NºAsuntos!I16/NºAsuntos!G16),(NºAsuntos!I16/NºAsuntos!G16)*11," - ")</f>
        <v>9.2512820512820522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v>
      </c>
      <c r="D17" s="228">
        <f>IF(ISNUMBER(IF(D_I="SI",Datos!I17,Datos!I17+Datos!AC17)),IF(D_I="SI",Datos!I17,Datos!I17+Datos!AC17)," - ")</f>
        <v>20</v>
      </c>
      <c r="E17" s="229">
        <f>IF(ISNUMBER(IF(D_I="SI",Datos!J17,Datos!J17+Datos!AD17)),IF(D_I="SI",Datos!J17,Datos!J17+Datos!AD17)," - ")</f>
        <v>8</v>
      </c>
      <c r="F17" s="229">
        <f>IF(ISNUMBER(IF(D_I="SI",Datos!K17,Datos!K17+Datos!AE17)),IF(D_I="SI",Datos!K17,Datos!K17+Datos!AE17)," - ")</f>
        <v>10</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-0.1</v>
      </c>
      <c r="L17" s="1028">
        <f>IF(ISNUMBER(NºAsuntos!I17/NºAsuntos!G17),(NºAsuntos!I17/NºAsuntos!G17)*11," - ")</f>
        <v>19.8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203</v>
      </c>
      <c r="D18" s="1052">
        <f>SUBTOTAL(9,D15:D17)</f>
        <v>201</v>
      </c>
      <c r="E18" s="1053">
        <f>SUBTOTAL(9,E15:E17)</f>
        <v>184</v>
      </c>
      <c r="F18" s="1053">
        <f>SUBTOTAL(9,F15:F17)</f>
        <v>205</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214</v>
      </c>
      <c r="D19" s="1074">
        <f>SUBTOTAL(9,D9:D18)</f>
        <v>212</v>
      </c>
      <c r="E19" s="1075">
        <f>SUBTOTAL(9,E9:E18)</f>
        <v>186</v>
      </c>
      <c r="F19" s="1075">
        <f>SUBTOTAL(9,F9:F18)</f>
        <v>213</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09J3pWGN5HTqoTU3nMa70bgo0586VhEy+cvBJXEVFsjY/g9g7ehf8zmmiMX+/I1WF4e1JxOXx2GNVdbfuKGyrQ==" saltValue="sM9CJZkzf6/QJGLUuCngz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rXi/kTssZyRABIp8YKKZbr1L9FEGp1hEiEVwfhqof7DxSQVq/vev24Ji/enXVYZOdPxC5ShECCQqAEpQDtW+g==" saltValue="6dV1Lg3/gAZt5JI9L8fb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2</v>
      </c>
      <c r="K10" s="184">
        <v>8</v>
      </c>
      <c r="L10" s="184">
        <v>5</v>
      </c>
      <c r="M10" s="184">
        <v>7</v>
      </c>
      <c r="N10" s="184">
        <v>0</v>
      </c>
      <c r="O10" s="184">
        <v>0</v>
      </c>
      <c r="P10" s="184">
        <v>0</v>
      </c>
      <c r="Q10" s="184">
        <v>0</v>
      </c>
      <c r="R10" s="184">
        <v>0</v>
      </c>
      <c r="S10" s="184">
        <v>10</v>
      </c>
      <c r="T10" s="184">
        <v>2</v>
      </c>
      <c r="U10" s="184">
        <v>1</v>
      </c>
      <c r="V10" s="184">
        <v>11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v>
      </c>
      <c r="AZ10" s="129">
        <f t="shared" si="0"/>
        <v>2</v>
      </c>
      <c r="BA10" s="129">
        <f t="shared" si="0"/>
        <v>1</v>
      </c>
      <c r="BB10" s="129">
        <f t="shared" si="0"/>
        <v>11</v>
      </c>
      <c r="BC10" s="125">
        <f t="shared" si="0"/>
        <v>1</v>
      </c>
      <c r="BD10" s="126">
        <f>IF(ISNUMBER(BA10/AZ10),BA10/AZ10," - ")</f>
        <v>0.5</v>
      </c>
      <c r="BE10" s="127">
        <f>IF(ISNUMBER(BB10/BA10),BB10/BA10, " - ")</f>
        <v>11</v>
      </c>
      <c r="BF10" s="127">
        <f>IF(ISNUMBER(BC10/BA10),BC10/BA10, " - ")</f>
        <v>1</v>
      </c>
      <c r="BG10" s="199">
        <f>IF(ISNUMBER((AY10+AZ10)/BA10),(AY10+AZ10)/BA10," - ")</f>
        <v>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481</v>
      </c>
      <c r="J12" s="186">
        <v>287</v>
      </c>
      <c r="K12" s="186">
        <v>166</v>
      </c>
      <c r="L12" s="186">
        <v>602</v>
      </c>
      <c r="M12" s="186">
        <v>45</v>
      </c>
      <c r="N12" s="186">
        <v>9</v>
      </c>
      <c r="O12" s="184">
        <v>4</v>
      </c>
      <c r="P12" s="186">
        <v>70</v>
      </c>
      <c r="Q12" s="186">
        <v>14</v>
      </c>
      <c r="R12" s="186">
        <v>949</v>
      </c>
      <c r="S12" s="186">
        <v>468</v>
      </c>
      <c r="T12" s="186">
        <v>262</v>
      </c>
      <c r="U12" s="186">
        <v>265</v>
      </c>
      <c r="V12" s="186">
        <v>330</v>
      </c>
      <c r="W12" s="186">
        <v>58</v>
      </c>
      <c r="X12" s="192">
        <v>139</v>
      </c>
      <c r="Y12" s="194">
        <v>38</v>
      </c>
      <c r="Z12" s="184">
        <v>36</v>
      </c>
      <c r="AA12" s="184">
        <v>24</v>
      </c>
      <c r="AB12" s="184">
        <v>50</v>
      </c>
      <c r="AC12" s="186">
        <v>0</v>
      </c>
      <c r="AD12" s="186">
        <v>0</v>
      </c>
      <c r="AE12" s="186">
        <v>0</v>
      </c>
      <c r="AF12" s="192">
        <v>0</v>
      </c>
      <c r="AG12" s="205">
        <v>82</v>
      </c>
      <c r="AH12" s="186">
        <v>24</v>
      </c>
      <c r="AI12" s="186">
        <v>30</v>
      </c>
      <c r="AJ12" s="206">
        <v>29</v>
      </c>
      <c r="AK12" s="185">
        <v>0</v>
      </c>
      <c r="AL12" s="186">
        <v>0</v>
      </c>
      <c r="AM12" s="186">
        <v>0</v>
      </c>
      <c r="AN12" s="192">
        <v>0</v>
      </c>
      <c r="AO12" s="262">
        <v>2</v>
      </c>
      <c r="AP12" s="158">
        <v>2</v>
      </c>
      <c r="AQ12" s="158">
        <v>2</v>
      </c>
      <c r="AR12" s="157">
        <v>2</v>
      </c>
      <c r="AS12" s="343" t="s">
        <v>807</v>
      </c>
      <c r="AT12" s="206"/>
      <c r="AU12" s="205"/>
      <c r="AV12" s="206"/>
      <c r="AW12" s="205"/>
      <c r="AX12" s="206"/>
      <c r="AY12" s="126">
        <f t="shared" si="1"/>
        <v>550</v>
      </c>
      <c r="AZ12" s="127">
        <f t="shared" si="1"/>
        <v>286</v>
      </c>
      <c r="BA12" s="127">
        <f t="shared" si="1"/>
        <v>295</v>
      </c>
      <c r="BB12" s="127">
        <f t="shared" si="1"/>
        <v>359</v>
      </c>
      <c r="BC12" s="125">
        <f>IF(ISNUMBER(X12),X12," - ")</f>
        <v>139</v>
      </c>
      <c r="BD12" s="126">
        <f t="shared" si="2"/>
        <v>1.0314685314685315</v>
      </c>
      <c r="BE12" s="127">
        <f t="shared" si="3"/>
        <v>1.2169491525423728</v>
      </c>
      <c r="BF12" s="127">
        <f t="shared" si="4"/>
        <v>0.47118644067796611</v>
      </c>
      <c r="BG12" s="199">
        <f t="shared" si="5"/>
        <v>2.8338983050847459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492</v>
      </c>
      <c r="J13" s="187">
        <f t="shared" si="6"/>
        <v>289</v>
      </c>
      <c r="K13" s="187">
        <f t="shared" si="6"/>
        <v>174</v>
      </c>
      <c r="L13" s="187">
        <f t="shared" si="6"/>
        <v>607</v>
      </c>
      <c r="M13" s="187">
        <f t="shared" si="6"/>
        <v>52</v>
      </c>
      <c r="N13" s="187">
        <f t="shared" si="6"/>
        <v>9</v>
      </c>
      <c r="O13" s="187">
        <f t="shared" si="6"/>
        <v>4</v>
      </c>
      <c r="P13" s="187">
        <f t="shared" si="6"/>
        <v>70</v>
      </c>
      <c r="Q13" s="187">
        <f t="shared" si="6"/>
        <v>14</v>
      </c>
      <c r="R13" s="187">
        <f t="shared" si="6"/>
        <v>949</v>
      </c>
      <c r="S13" s="187">
        <f t="shared" si="6"/>
        <v>478</v>
      </c>
      <c r="T13" s="187">
        <f t="shared" si="6"/>
        <v>264</v>
      </c>
      <c r="U13" s="187">
        <f t="shared" si="6"/>
        <v>266</v>
      </c>
      <c r="V13" s="187">
        <f t="shared" si="6"/>
        <v>341</v>
      </c>
      <c r="W13" s="187">
        <f t="shared" si="6"/>
        <v>59</v>
      </c>
      <c r="X13" s="187">
        <f t="shared" si="6"/>
        <v>139</v>
      </c>
      <c r="Y13" s="187">
        <f t="shared" si="6"/>
        <v>38</v>
      </c>
      <c r="Z13" s="187">
        <f t="shared" si="6"/>
        <v>36</v>
      </c>
      <c r="AA13" s="187">
        <f t="shared" si="6"/>
        <v>24</v>
      </c>
      <c r="AB13" s="187">
        <f t="shared" si="6"/>
        <v>50</v>
      </c>
      <c r="AC13" s="187">
        <f t="shared" si="6"/>
        <v>0</v>
      </c>
      <c r="AD13" s="187">
        <f t="shared" si="6"/>
        <v>0</v>
      </c>
      <c r="AE13" s="187">
        <f t="shared" si="6"/>
        <v>0</v>
      </c>
      <c r="AF13" s="187">
        <f>SUBTOTAL(9,AF9:AF12)</f>
        <v>0</v>
      </c>
      <c r="AG13" s="187">
        <f t="shared" ref="AG13:AT13" si="7">SUBTOTAL(9,AG8:AG12)</f>
        <v>82</v>
      </c>
      <c r="AH13" s="187">
        <f t="shared" si="7"/>
        <v>24</v>
      </c>
      <c r="AI13" s="187">
        <f t="shared" si="7"/>
        <v>30</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560</v>
      </c>
      <c r="AZ13" s="187">
        <f>SUBTOTAL(9,AZ8:AZ12)</f>
        <v>288</v>
      </c>
      <c r="BA13" s="187">
        <f>SUBTOTAL(9,BA8:BA12)</f>
        <v>296</v>
      </c>
      <c r="BB13" s="187">
        <f>SUBTOTAL(9,BB8:BB12)</f>
        <v>370</v>
      </c>
      <c r="BC13" s="187">
        <f>SUBTOTAL(9,BC8:BC12)</f>
        <v>140</v>
      </c>
      <c r="BD13" s="208">
        <f>IF(ISNUMBER(BA13/AZ13),BA13/AZ13," - ")</f>
        <v>1.0277777777777777</v>
      </c>
      <c r="BE13" s="209">
        <f>IF(ISNUMBER(BB13/BA13),BB13/BA13, " - ")</f>
        <v>1.25</v>
      </c>
      <c r="BF13" s="209">
        <f>IF(ISNUMBER(BC13/BA13),BC13/BA13, " - ")</f>
        <v>0.47297297297297297</v>
      </c>
      <c r="BG13" s="210">
        <f>IF(ISNUMBER((AY13+AZ13)/BA13),(AY13+AZ13)/BA13," - ")</f>
        <v>2.8648648648648649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181</v>
      </c>
      <c r="J16" s="186">
        <v>176</v>
      </c>
      <c r="K16" s="186">
        <v>195</v>
      </c>
      <c r="L16" s="186">
        <v>164</v>
      </c>
      <c r="M16" s="186">
        <v>29</v>
      </c>
      <c r="N16" s="186">
        <v>107</v>
      </c>
      <c r="O16" s="184">
        <v>0</v>
      </c>
      <c r="P16" s="186">
        <v>6</v>
      </c>
      <c r="Q16" s="186">
        <v>4</v>
      </c>
      <c r="R16" s="186">
        <v>37</v>
      </c>
      <c r="S16" s="186">
        <v>183</v>
      </c>
      <c r="T16" s="186">
        <v>190</v>
      </c>
      <c r="U16" s="186">
        <v>196</v>
      </c>
      <c r="V16" s="186">
        <v>146</v>
      </c>
      <c r="W16" s="186">
        <v>33</v>
      </c>
      <c r="X16" s="192">
        <v>95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183</v>
      </c>
      <c r="AZ16" s="127">
        <f t="shared" si="9"/>
        <v>190</v>
      </c>
      <c r="BA16" s="127">
        <f t="shared" si="9"/>
        <v>196</v>
      </c>
      <c r="BB16" s="127">
        <f t="shared" si="9"/>
        <v>146</v>
      </c>
      <c r="BC16" s="125">
        <f>IF(ISNUMBER(W16),W16," - ")</f>
        <v>33</v>
      </c>
      <c r="BD16" s="126">
        <f t="shared" ref="BD16" si="11">IF(ISNUMBER(BA16/AZ16),BA16/AZ16," - ")</f>
        <v>1.0315789473684212</v>
      </c>
      <c r="BE16" s="127">
        <f t="shared" ref="BE16" si="12">IF(ISNUMBER(BB16/BA16),BB16/BA16, " - ")</f>
        <v>0.74489795918367352</v>
      </c>
      <c r="BF16" s="127">
        <f t="shared" ref="BF16" si="13">IF(ISNUMBER(BC16/BA16),BC16/BA16, " - ")</f>
        <v>0.1683673469387755</v>
      </c>
      <c r="BG16" s="199">
        <f t="shared" si="10"/>
        <v>1.903061224489796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20</v>
      </c>
      <c r="J17" s="186">
        <v>8</v>
      </c>
      <c r="K17" s="186">
        <v>10</v>
      </c>
      <c r="L17" s="186">
        <v>18</v>
      </c>
      <c r="M17" s="186">
        <v>2</v>
      </c>
      <c r="N17" s="186">
        <v>5</v>
      </c>
      <c r="O17" s="186">
        <v>0</v>
      </c>
      <c r="P17" s="186">
        <v>0</v>
      </c>
      <c r="Q17" s="186">
        <v>0</v>
      </c>
      <c r="R17" s="186">
        <v>2</v>
      </c>
      <c r="S17" s="186">
        <v>6</v>
      </c>
      <c r="T17" s="186">
        <v>18</v>
      </c>
      <c r="U17" s="186">
        <v>13</v>
      </c>
      <c r="V17" s="186">
        <v>14</v>
      </c>
      <c r="W17" s="186">
        <v>0</v>
      </c>
      <c r="X17" s="192">
        <v>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v>
      </c>
      <c r="AZ17" s="129">
        <f t="shared" si="14"/>
        <v>18</v>
      </c>
      <c r="BA17" s="129">
        <f t="shared" si="14"/>
        <v>13</v>
      </c>
      <c r="BB17" s="129">
        <f t="shared" si="14"/>
        <v>14</v>
      </c>
      <c r="BC17" s="125">
        <f>IF(ISNUMBER(W17),W17," - ")</f>
        <v>0</v>
      </c>
      <c r="BD17" s="126">
        <f>IF(ISNUMBER(BA17/AZ17),BA17/AZ17," - ")</f>
        <v>0.72222222222222221</v>
      </c>
      <c r="BE17" s="127">
        <f>IF(ISNUMBER(BB17/BA17),BB17/BA17, " - ")</f>
        <v>1.0769230769230769</v>
      </c>
      <c r="BF17" s="127">
        <f>IF(ISNUMBER(BC17/BA17),BC17/BA17, " - ")</f>
        <v>0</v>
      </c>
      <c r="BG17" s="199">
        <f>IF(ISNUMBER((AY17+AZ17)/BA17),(AY17+AZ17)/BA17," - ")</f>
        <v>1.8461538461538463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201</v>
      </c>
      <c r="J18" s="187">
        <f t="shared" si="15"/>
        <v>184</v>
      </c>
      <c r="K18" s="187">
        <f t="shared" si="15"/>
        <v>205</v>
      </c>
      <c r="L18" s="187">
        <f t="shared" si="15"/>
        <v>182</v>
      </c>
      <c r="M18" s="187">
        <f t="shared" si="15"/>
        <v>31</v>
      </c>
      <c r="N18" s="187">
        <f t="shared" si="15"/>
        <v>112</v>
      </c>
      <c r="O18" s="187">
        <f t="shared" si="15"/>
        <v>0</v>
      </c>
      <c r="P18" s="187">
        <f t="shared" si="15"/>
        <v>6</v>
      </c>
      <c r="Q18" s="187">
        <f t="shared" si="15"/>
        <v>4</v>
      </c>
      <c r="R18" s="187">
        <f t="shared" si="15"/>
        <v>39</v>
      </c>
      <c r="S18" s="187">
        <f t="shared" si="15"/>
        <v>189</v>
      </c>
      <c r="T18" s="187">
        <f t="shared" si="15"/>
        <v>208</v>
      </c>
      <c r="U18" s="187">
        <f t="shared" si="15"/>
        <v>209</v>
      </c>
      <c r="V18" s="187">
        <f t="shared" si="15"/>
        <v>160</v>
      </c>
      <c r="W18" s="187">
        <f t="shared" si="15"/>
        <v>33</v>
      </c>
      <c r="X18" s="187">
        <f t="shared" si="15"/>
        <v>108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189</v>
      </c>
      <c r="AZ18" s="187">
        <f>SUBTOTAL(9,AZ14:AZ17)</f>
        <v>208</v>
      </c>
      <c r="BA18" s="187">
        <f>SUBTOTAL(9,BA14:BA17)</f>
        <v>209</v>
      </c>
      <c r="BB18" s="187">
        <f>SUBTOTAL(9,BB14:BB17)</f>
        <v>160</v>
      </c>
      <c r="BC18" s="187">
        <f>SUBTOTAL(9,BC14:BC17)</f>
        <v>33</v>
      </c>
      <c r="BD18" s="208">
        <f>IF(ISNUMBER(BA18/AZ18),BA18/AZ18," - ")</f>
        <v>1.0048076923076923</v>
      </c>
      <c r="BE18" s="209">
        <f>IF(ISNUMBER(BB18/BA18),BB18/BA18, " - ")</f>
        <v>0.76555023923444976</v>
      </c>
      <c r="BF18" s="209">
        <f>IF(ISNUMBER(BC18/BA18),BC18/BA18, " - ")</f>
        <v>0.15789473684210525</v>
      </c>
      <c r="BG18" s="210">
        <f>IF(ISNUMBER((AY18+AZ18)/BA18),(AY18+AZ18)/BA18," - ")</f>
        <v>1.8995215311004785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693</v>
      </c>
      <c r="J19" s="134">
        <f t="shared" si="18"/>
        <v>473</v>
      </c>
      <c r="K19" s="134">
        <f t="shared" si="18"/>
        <v>379</v>
      </c>
      <c r="L19" s="134">
        <f t="shared" si="18"/>
        <v>789</v>
      </c>
      <c r="M19" s="134">
        <f t="shared" si="18"/>
        <v>83</v>
      </c>
      <c r="N19" s="134">
        <f t="shared" si="18"/>
        <v>121</v>
      </c>
      <c r="O19" s="134">
        <f t="shared" si="18"/>
        <v>4</v>
      </c>
      <c r="P19" s="134">
        <f t="shared" si="18"/>
        <v>76</v>
      </c>
      <c r="Q19" s="134">
        <f t="shared" si="18"/>
        <v>18</v>
      </c>
      <c r="R19" s="134">
        <f t="shared" si="18"/>
        <v>988</v>
      </c>
      <c r="S19" s="134">
        <f t="shared" si="18"/>
        <v>667</v>
      </c>
      <c r="T19" s="134">
        <f t="shared" si="18"/>
        <v>472</v>
      </c>
      <c r="U19" s="134">
        <f t="shared" si="18"/>
        <v>475</v>
      </c>
      <c r="V19" s="134">
        <f t="shared" si="18"/>
        <v>501</v>
      </c>
      <c r="W19" s="134">
        <f t="shared" si="18"/>
        <v>92</v>
      </c>
      <c r="X19" s="134">
        <f t="shared" si="18"/>
        <v>247</v>
      </c>
      <c r="Y19" s="134">
        <f t="shared" si="18"/>
        <v>38</v>
      </c>
      <c r="Z19" s="134">
        <f t="shared" si="18"/>
        <v>36</v>
      </c>
      <c r="AA19" s="134">
        <f t="shared" si="18"/>
        <v>24</v>
      </c>
      <c r="AB19" s="134">
        <f t="shared" si="18"/>
        <v>50</v>
      </c>
      <c r="AC19" s="134">
        <f t="shared" si="18"/>
        <v>0</v>
      </c>
      <c r="AD19" s="134">
        <f t="shared" si="18"/>
        <v>0</v>
      </c>
      <c r="AE19" s="134">
        <f t="shared" si="18"/>
        <v>0</v>
      </c>
      <c r="AF19" s="134">
        <f t="shared" si="18"/>
        <v>0</v>
      </c>
      <c r="AG19" s="134">
        <f t="shared" si="18"/>
        <v>82</v>
      </c>
      <c r="AH19" s="134">
        <f t="shared" si="18"/>
        <v>24</v>
      </c>
      <c r="AI19" s="134">
        <f t="shared" si="18"/>
        <v>30</v>
      </c>
      <c r="AJ19" s="134">
        <f t="shared" si="18"/>
        <v>29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749</v>
      </c>
      <c r="AZ19" s="134">
        <f>SUBTOTAL(9,AZ9:AZ18)</f>
        <v>496</v>
      </c>
      <c r="BA19" s="134">
        <f>SUBTOTAL(9,BA9:BA18)</f>
        <v>505</v>
      </c>
      <c r="BB19" s="134">
        <f>SUBTOTAL(9,BB9:BB18)</f>
        <v>530</v>
      </c>
      <c r="BC19" s="135">
        <f>SUBTOTAL(9,BC9:BC18)</f>
        <v>173</v>
      </c>
      <c r="BD19" s="216">
        <f>IF(ISNUMBER(BA19/AZ19),BA19/AZ19," - ")</f>
        <v>1.0181451612903225</v>
      </c>
      <c r="BE19" s="213">
        <f>IF(ISNUMBER(BB19/BA19),BB19/BA19, " - ")</f>
        <v>1.0495049504950495</v>
      </c>
      <c r="BF19" s="213">
        <f>IF(ISNUMBER(BC19/BA19),BC19/BA19, " - ")</f>
        <v>0.3425742574257426</v>
      </c>
      <c r="BG19" s="135">
        <f>IF(ISNUMBER((AY19+AZ19)/BA19),(AY19+AZ19)/BA19," - ")</f>
        <v>2.4653465346534653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BUzWtyp2GyWUHswIOZGDrDQU+42gGr15M1uti3B2mX15ujFZ8HmxbFBfFxx5kmrYStvhkaEV4Ojj6R6/Cd+Jg==" saltValue="oqYwvWEo2+5Y0/XzJWYD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Ln9BCQV3yv2oeo3CKPBxY6bln6YVktiB7MtVPDF5XCp3VwTi5Y7Ads1cyYd6E4NT2F5Qq2hTuh33EptN0aluA==" saltValue="YAfwvst5YJ1lTNT2Yw3V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O BARCO DE VALDEORRAS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4</v>
      </c>
      <c r="BH10" s="263">
        <f>IF(ISNUMBER(((Datos!L10/Datos!K10)*11)/factor_trimestre),((Datos!L10/Datos!K10)*11)/factor_trimestre," - ")</f>
        <v>1.875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v>
      </c>
      <c r="O12" s="337"/>
      <c r="P12" s="337"/>
      <c r="Q12" s="229">
        <f>IF(ISNUMBER(Datos!P12),Datos!P12,0)</f>
        <v>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949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v>
      </c>
      <c r="BD12" s="232">
        <f>IF(ISNUMBER(Datos!N12),Datos!N12," - ")</f>
        <v>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0.58823529411764708</v>
      </c>
      <c r="BH12" s="263">
        <f>IF(ISNUMBER(((IF(J_V="SI",Datos!L12/Datos!K12,(Datos!L12+Datos!AB12)/(Datos!K12+Datos!AA12)))*11)/factor_trimestre),((IF(J_V="SI",Datos!L12/Datos!K12,(Datos!L12+Datos!AB12)/(Datos!K12+Datos!AA12)))*11)/factor_trimestre," - ")</f>
        <v>10.294736842105264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6.2709966405375142E-2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36</v>
      </c>
      <c r="O13" s="903">
        <f t="shared" si="0"/>
        <v>0</v>
      </c>
      <c r="P13" s="903">
        <f t="shared" si="0"/>
        <v>0</v>
      </c>
      <c r="Q13" s="902">
        <f t="shared" si="0"/>
        <v>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14</v>
      </c>
      <c r="AD13" s="902">
        <f t="shared" si="1"/>
        <v>0</v>
      </c>
      <c r="AE13" s="902">
        <f t="shared" si="1"/>
        <v>0</v>
      </c>
      <c r="AF13" s="902">
        <f t="shared" si="1"/>
        <v>5</v>
      </c>
      <c r="AG13" s="902">
        <f t="shared" si="1"/>
        <v>0</v>
      </c>
      <c r="AH13" s="902">
        <f t="shared" si="1"/>
        <v>50</v>
      </c>
      <c r="AI13" s="902">
        <f t="shared" si="1"/>
        <v>0</v>
      </c>
      <c r="AJ13" s="902">
        <f t="shared" si="1"/>
        <v>0</v>
      </c>
      <c r="AK13" s="902">
        <f t="shared" si="1"/>
        <v>0</v>
      </c>
      <c r="AL13" s="902">
        <f t="shared" si="1"/>
        <v>0</v>
      </c>
      <c r="AM13" s="902">
        <f t="shared" si="1"/>
        <v>949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v>
      </c>
      <c r="BD13" s="902">
        <f t="shared" si="1"/>
        <v>9</v>
      </c>
      <c r="BE13" s="902">
        <f t="shared" si="1"/>
        <v>0</v>
      </c>
      <c r="BF13" s="902">
        <f t="shared" si="1"/>
        <v>0</v>
      </c>
      <c r="BG13" s="902">
        <f>IF(ISNUMBER(Datos!K13/Datos!J13),Datos!K13/Datos!J13," - ")</f>
        <v>0.60207612456747406</v>
      </c>
      <c r="BH13" s="906">
        <f>IF(ISNUMBER(((Datos!L13/Datos!K13)*11)/factor_trimestre),((Datos!L13/Datos!K13)*11)/factor_trimestre," - ")</f>
        <v>10.465517241379311</v>
      </c>
      <c r="BI13" s="902">
        <f>IF(ISNUMBER('Resol  Asuntos'!D13/NºAsuntos!G13),'Resol  Asuntos'!D13/NºAsuntos!G13," - ")</f>
        <v>0.26262626262626265</v>
      </c>
      <c r="BJ13" s="902" t="str">
        <f>IF(ISNUMBER(Datos!CI13/Datos!CJ13),Datos!CI13/Datos!CJ13," - ")</f>
        <v xml:space="preserve"> - </v>
      </c>
      <c r="BK13" s="902">
        <f>SUBTOTAL(9,BK8:BK12)</f>
        <v>0</v>
      </c>
      <c r="BL13" s="902">
        <f>IF(ISNUMBER((I13-AB13+L13)/(F13)),(I13-AB13+L13)/(F13)," - ")</f>
        <v>-0.72727272727272729</v>
      </c>
      <c r="BM13" s="907">
        <f>SUBTOTAL(9,BM9:BM12)</f>
        <v>6.2709966405375142E-2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183</v>
      </c>
      <c r="G16" s="601">
        <f>IF(ISNUMBER(IF(D_I="SI",Datos!I16,Datos!I16+Datos!AC16)),IF(D_I="SI",Datos!I16,Datos!I16+Datos!AC16)," - ")</f>
        <v>181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195</v>
      </c>
      <c r="AC16" s="229">
        <f>IF(ISNUMBER(Datos!Q16),Datos!Q16," - ")</f>
        <v>4</v>
      </c>
      <c r="AD16" s="337"/>
      <c r="AE16" s="487"/>
      <c r="AF16" s="599">
        <f>IF(ISNUMBER(IF(D_I="SI",Datos!L16,Datos!L16+Datos!AF16)),IF(D_I="SI",Datos!L16,Datos!L16+Datos!AF16)," - ")</f>
        <v>164</v>
      </c>
      <c r="AG16" s="337"/>
      <c r="AH16" s="337"/>
      <c r="AI16" s="337"/>
      <c r="AJ16" s="337"/>
      <c r="AK16" s="337"/>
      <c r="AL16" s="482"/>
      <c r="AM16" s="338">
        <f>IF(ISNUMBER(Datos!R16),Datos!R16," - ")</f>
        <v>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v>
      </c>
      <c r="BD16" s="232">
        <f>IF(ISNUMBER(Datos!N16),Datos!N16," - ")</f>
        <v>107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1.1079545454545454</v>
      </c>
      <c r="BH16" s="263">
        <f>IF(ISNUMBER(((IF(D_I="SI",Datos!L16/Datos!K16,(Datos!L16+Datos!AF16)/(Datos!K16+Datos!AE16)))*11)/factor_trimestre),((IF(D_I="SI",Datos!L16/Datos!K16,(Datos!L16+Datos!AF16)/(Datos!K16+Datos!AE16)))*11)/factor_trimestre," - ")</f>
        <v>2.5230769230769234</v>
      </c>
      <c r="BI16" s="246">
        <f>IF(ISNUMBER('Resol  Asuntos'!D16/NºAsuntos!G16),'Resol  Asuntos'!D16/NºAsuntos!G16," - ")</f>
        <v>0.14871794871794872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v>
      </c>
      <c r="AC17" s="229">
        <f>IF(ISNUMBER(Datos!Q17),Datos!Q17," - ")</f>
        <v>0</v>
      </c>
      <c r="AD17" s="337"/>
      <c r="AE17" s="487"/>
      <c r="AF17" s="335">
        <f>IF(ISNUMBER(Datos!L17),Datos!L17,"-")</f>
        <v>18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1.25</v>
      </c>
      <c r="BH17" s="263">
        <f>IF(ISNUMBER(((IF(D_I="SI",Datos!L17/Datos!K17,(Datos!L17+Datos!AF17)/(Datos!K17+Datos!AE17)))*11)/factor_trimestre),((IF(D_I="SI",Datos!L17/Datos!K17,(Datos!L17+Datos!AF17)/(Datos!K17+Datos!AE17)))*11)/factor_trimestre," - ")</f>
        <v>5.4</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183</v>
      </c>
      <c r="G18" s="901">
        <f>SUBTOTAL(9,G15:G17)</f>
        <v>201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205</v>
      </c>
      <c r="AC18" s="902">
        <f t="shared" si="4"/>
        <v>4</v>
      </c>
      <c r="AD18" s="902">
        <f t="shared" si="4"/>
        <v>0</v>
      </c>
      <c r="AE18" s="902">
        <f t="shared" si="4"/>
        <v>0</v>
      </c>
      <c r="AF18" s="902">
        <f t="shared" si="4"/>
        <v>182</v>
      </c>
      <c r="AG18" s="902">
        <f t="shared" si="4"/>
        <v>0</v>
      </c>
      <c r="AH18" s="902">
        <f t="shared" si="4"/>
        <v>0</v>
      </c>
      <c r="AI18" s="902">
        <f t="shared" si="4"/>
        <v>0</v>
      </c>
      <c r="AJ18" s="902">
        <f t="shared" si="4"/>
        <v>0</v>
      </c>
      <c r="AK18" s="902">
        <f t="shared" si="4"/>
        <v>0</v>
      </c>
      <c r="AL18" s="902">
        <f t="shared" si="4"/>
        <v>0</v>
      </c>
      <c r="AM18" s="902">
        <f t="shared" si="4"/>
        <v>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v>
      </c>
      <c r="BD18" s="902">
        <f t="shared" si="4"/>
        <v>112</v>
      </c>
      <c r="BE18" s="902">
        <f t="shared" si="4"/>
        <v>0</v>
      </c>
      <c r="BF18" s="902">
        <f t="shared" si="4"/>
        <v>0</v>
      </c>
      <c r="BG18" s="902">
        <f>IF(ISNUMBER(Datos!K18/Datos!J18),Datos!K18/Datos!J18," - ")</f>
        <v>1.1141304347826086</v>
      </c>
      <c r="BH18" s="906">
        <f>IF(ISNUMBER(((Datos!L18/Datos!K18)*11)/factor_trimestre),((Datos!L18/Datos!K18)*11)/factor_trimestre," - ")</f>
        <v>2.6634146341463416</v>
      </c>
      <c r="BI18" s="902">
        <f>SUBTOTAL(9,BI15:BI17)</f>
        <v>0.3487179487179487</v>
      </c>
      <c r="BJ18" s="902">
        <f>SUBTOTAL(9,BJ15:BJ17)</f>
        <v>0</v>
      </c>
      <c r="BK18" s="902">
        <f>SUBTOTAL(9,BK15:BK17)</f>
        <v>0</v>
      </c>
      <c r="BL18" s="902">
        <f>IF(ISNUMBER((I18-AB18+L18)/(F18)),(I18-AB18+L18)/(F18)," - ")</f>
        <v>-1.1202185792349726</v>
      </c>
      <c r="BM18" s="908">
        <f>IF(ISNUMBER((Datos!P18-Datos!Q18)/(Datos!R18-Datos!P18+Datos!Q18)),(Datos!P18-Datos!Q18)/(Datos!R18-Datos!P18+Datos!Q18)," - ")</f>
        <v>5.4054054054054057E-2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194</v>
      </c>
      <c r="G19" s="823">
        <f t="shared" si="6"/>
        <v>212</v>
      </c>
      <c r="H19" s="825">
        <f t="shared" si="6"/>
        <v>0</v>
      </c>
      <c r="I19" s="823">
        <f t="shared" si="6"/>
        <v>0</v>
      </c>
      <c r="J19" s="825">
        <f t="shared" si="6"/>
        <v>0</v>
      </c>
      <c r="K19" s="825">
        <f t="shared" si="6"/>
        <v>0</v>
      </c>
      <c r="L19" s="884">
        <f t="shared" si="6"/>
        <v>0</v>
      </c>
      <c r="M19" s="884">
        <f t="shared" si="6"/>
        <v>0</v>
      </c>
      <c r="N19" s="884">
        <f t="shared" si="6"/>
        <v>36</v>
      </c>
      <c r="O19" s="884">
        <f t="shared" si="6"/>
        <v>0</v>
      </c>
      <c r="P19" s="884">
        <f t="shared" si="6"/>
        <v>0</v>
      </c>
      <c r="Q19" s="825">
        <f t="shared" si="6"/>
        <v>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213</v>
      </c>
      <c r="AC19" s="824">
        <f t="shared" si="7"/>
        <v>18</v>
      </c>
      <c r="AD19" s="824">
        <f t="shared" si="7"/>
        <v>0</v>
      </c>
      <c r="AE19" s="824">
        <f t="shared" si="7"/>
        <v>0</v>
      </c>
      <c r="AF19" s="831">
        <f t="shared" si="7"/>
        <v>187</v>
      </c>
      <c r="AG19" s="831">
        <f t="shared" si="7"/>
        <v>0</v>
      </c>
      <c r="AH19" s="831">
        <f t="shared" si="7"/>
        <v>50</v>
      </c>
      <c r="AI19" s="831">
        <f t="shared" si="7"/>
        <v>0</v>
      </c>
      <c r="AJ19" s="824">
        <f t="shared" si="7"/>
        <v>0</v>
      </c>
      <c r="AK19" s="831">
        <f t="shared" si="7"/>
        <v>0</v>
      </c>
      <c r="AL19" s="831">
        <f t="shared" si="7"/>
        <v>0</v>
      </c>
      <c r="AM19" s="831">
        <f t="shared" si="7"/>
        <v>988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83</v>
      </c>
      <c r="BD19" s="823">
        <f t="shared" si="7"/>
        <v>121</v>
      </c>
      <c r="BE19" s="823">
        <f t="shared" si="7"/>
        <v>0</v>
      </c>
      <c r="BF19" s="833">
        <f t="shared" si="7"/>
        <v>0</v>
      </c>
      <c r="BG19" s="918">
        <f>IF(ISNUMBER(Datos!K19/Datos!J19),Datos!K19/Datos!J19," - ")</f>
        <v>0.80126849894291752</v>
      </c>
      <c r="BH19" s="918">
        <f>IF(ISNUMBER(((Datos!L19/Datos!K19)*11)/factor_trimestre),((Datos!L19/Datos!K19)*11)/factor_trimestre," - ")</f>
        <v>6.2453825857519796</v>
      </c>
      <c r="BI19" s="816">
        <f>IF(ISNUMBER(Datos!J19/Datos!I19),Datos!J19/Datos!I19," - ")</f>
        <v>0.68253968253968256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-1.097938144329897</v>
      </c>
      <c r="BM19" s="892">
        <f>IF(ISNUMBER((Datos!P19-Datos!Q19+R19)/(Datos!R19-Datos!P19+Datos!Q19-R19)),(Datos!P19-Datos!Q19+R19)/(Datos!R19-Datos!P19+Datos!Q19-R19)," - ")</f>
        <v>6.236559139784946E-2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99.304246300615631</v>
      </c>
      <c r="G21" s="555">
        <f>IF(ISNUMBER(STDEV(G8:G18)),STDEV(G8:G18),"-")</f>
        <v>97.273840265510231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104.86038336759979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19.956619620232946</v>
      </c>
      <c r="BD21" s="554"/>
      <c r="BE21" s="554">
        <f>IF(ISNUMBER(STDEV(BE8:BE18)),STDEV(BE8:BE18),"-")</f>
        <v>0</v>
      </c>
      <c r="BF21" s="559">
        <f>IF(ISNUMBER(STDEV(BF8:BF18)),STDEV(BF8:BF18),"-")</f>
        <v>0</v>
      </c>
      <c r="BG21" s="778">
        <f>IF(ISNUMBER(STDEV(BG8:BG18)),STDEV(BG8:BG18),"-")</f>
        <v>1.2832522038044747</v>
      </c>
      <c r="BH21" s="779">
        <f>IF(ISNUMBER(STDEV(BH8:BH18)),STDEV(BH8:BH18),"-")</f>
        <v>3.9419939171686584</v>
      </c>
      <c r="BI21" s="252">
        <f>IF(ISNUMBER(STDEV(BI8:BI18)),STDEV(BI8:BI18),"-")</f>
        <v>8.6147068153172177E-2</v>
      </c>
      <c r="BJ21" s="233" t="str">
        <f>IF(ISNUMBER(BL21/BM21),BL21/BM21," - ")</f>
        <v xml:space="preserve"> - </v>
      </c>
      <c r="BK21" s="578"/>
      <c r="BL21" s="562">
        <f>IF(ISNUMBER(STDEV(BL8:BL18)),STDEV(BL8:BL18),"-")</f>
        <v>0.27785467656162888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FF6jIE2k62c3jyV96uu+xP156/mW12xnzavHQV22LtLGbX94po1hiCcpl9fKEkKepaPcLsuUEe2O/HY9gvZWA==" saltValue="EHhsvSg1sMeX7Z03r/jA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O BARCO DE VALDEORRAS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1.875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v>
      </c>
      <c r="AA12" s="335" t="str">
        <f>IF(ISNUMBER(IF(J_V="SI",Datos!L12,Datos!L12+Datos!AB12)-IF(Monitorios="SI",Datos!CD12,0)),
                          IF(J_V="SI",Datos!L12,Datos!L12+Datos!AB12)-IF(Monitorios="SI",Datos!CD12,0),
                          " - ")</f>
        <v xml:space="preserve"> - </v>
      </c>
      <c r="AB12" s="337"/>
      <c r="AC12" s="337"/>
      <c r="AD12" s="487"/>
      <c r="AE12" s="487">
        <f>IF(ISNUMBER(Datos!R12),Datos!R12," - ")</f>
        <v>949</v>
      </c>
      <c r="AF12" s="232" t="str">
        <f>IF(ISNUMBER(Datos!BV12),Datos!BV12," - ")</f>
        <v xml:space="preserve"> - </v>
      </c>
      <c r="AG12" s="228" t="str">
        <f>IF(ISNUMBER(Datos!DV12),Datos!DV12," - ")</f>
        <v xml:space="preserve"> - </v>
      </c>
      <c r="AH12" s="301"/>
      <c r="AI12" s="230"/>
      <c r="AJ12" s="228">
        <f>IF(ISNUMBER(Datos!M12),Datos!M12," - ")</f>
        <v>45</v>
      </c>
      <c r="AK12" s="232">
        <f>IF(ISNUMBER(Datos!N12),Datos!N12," - ")</f>
        <v>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10.294736842105264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6.2709966405375142E-2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14</v>
      </c>
      <c r="AA13" s="903">
        <f t="shared" si="2"/>
        <v>5</v>
      </c>
      <c r="AB13" s="903">
        <f t="shared" si="2"/>
        <v>0</v>
      </c>
      <c r="AC13" s="903">
        <f t="shared" si="2"/>
        <v>0</v>
      </c>
      <c r="AD13" s="903">
        <f t="shared" si="2"/>
        <v>0</v>
      </c>
      <c r="AE13" s="903">
        <f t="shared" si="2"/>
        <v>949</v>
      </c>
      <c r="AF13" s="911">
        <f t="shared" si="2"/>
        <v>0</v>
      </c>
      <c r="AG13" s="911">
        <f t="shared" si="2"/>
        <v>0</v>
      </c>
      <c r="AH13" s="911">
        <f t="shared" si="2"/>
        <v>0</v>
      </c>
      <c r="AI13" s="911">
        <f t="shared" si="2"/>
        <v>0</v>
      </c>
      <c r="AJ13" s="911">
        <f t="shared" si="2"/>
        <v>52</v>
      </c>
      <c r="AK13" s="911">
        <f t="shared" si="2"/>
        <v>9</v>
      </c>
      <c r="AL13" s="911">
        <f t="shared" si="2"/>
        <v>0</v>
      </c>
      <c r="AM13" s="911">
        <f t="shared" si="2"/>
        <v>0</v>
      </c>
      <c r="AN13" s="911">
        <f t="shared" si="2"/>
        <v>0</v>
      </c>
      <c r="AO13" s="907">
        <f>IF(ISNUMBER(((NºAsuntos!I13/NºAsuntos!G13)*11)/factor_trimestre),((NºAsuntos!I13/NºAsuntos!G13)*11)/factor_trimestre," - ")</f>
        <v>9.954545454545455</v>
      </c>
      <c r="AP13" s="913" t="str">
        <f>IF(ISNUMBER(Datos!CI13/Datos!CJ13),Datos!CI13/Datos!CJ13," - ")</f>
        <v xml:space="preserve"> - </v>
      </c>
      <c r="AQ13" s="931">
        <f t="shared" ref="AQ13:AV13" si="3">SUBTOTAL(9,AQ9:AQ12)</f>
        <v>0</v>
      </c>
      <c r="AR13" s="931">
        <f t="shared" si="3"/>
        <v>6.2709966405375142E-2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183</v>
      </c>
      <c r="G16" s="228">
        <f>IF(ISNUMBER(IF(D_I="SI",Datos!I16,Datos!I16+Datos!AC16)),IF(D_I="SI",Datos!I16,Datos!I16+Datos!AC16)," - ")</f>
        <v>181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195</v>
      </c>
      <c r="Z16" s="622">
        <f>IF(ISNUMBER(Datos!Q16),Datos!Q16," - ")</f>
        <v>4</v>
      </c>
      <c r="AA16" s="335">
        <f>IF(ISNUMBER(IF(D_I="SI",Datos!L16,Datos!L16+Datos!AF16)),IF(D_I="SI",Datos!L16,Datos!L16+Datos!AF16)," - ")</f>
        <v>164</v>
      </c>
      <c r="AB16" s="337"/>
      <c r="AC16" s="337"/>
      <c r="AD16" s="487"/>
      <c r="AE16" s="487">
        <f>IF(ISNUMBER(Datos!R16),Datos!R16," - ")</f>
        <v>37</v>
      </c>
      <c r="AF16" s="232" t="str">
        <f>IF(ISNUMBER(Datos!BV16),Datos!BV16," - ")</f>
        <v xml:space="preserve"> - </v>
      </c>
      <c r="AG16" s="228"/>
      <c r="AH16" s="301"/>
      <c r="AI16" s="230"/>
      <c r="AJ16" s="228">
        <f>IF(ISNUMBER(Datos!M16),Datos!M16," - ")</f>
        <v>29</v>
      </c>
      <c r="AK16" s="232">
        <f>IF(ISNUMBER(Datos!N16),Datos!N16," - ")</f>
        <v>107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2.5230769230769234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v>
      </c>
      <c r="Z17" s="622">
        <f>IF(ISNUMBER(Datos!Q17),Datos!Q17," - ")</f>
        <v>0</v>
      </c>
      <c r="AA17" s="335">
        <f>IF(ISNUMBER(Datos!L17),Datos!L17,"-")</f>
        <v>18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183</v>
      </c>
      <c r="G18" s="901">
        <f>SUBTOTAL(9,G15:G17)</f>
        <v>201</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205</v>
      </c>
      <c r="Z18" s="935">
        <f t="shared" si="5"/>
        <v>4</v>
      </c>
      <c r="AA18" s="935">
        <f t="shared" si="5"/>
        <v>182</v>
      </c>
      <c r="AB18" s="935">
        <f t="shared" si="5"/>
        <v>0</v>
      </c>
      <c r="AC18" s="935">
        <f t="shared" si="5"/>
        <v>0</v>
      </c>
      <c r="AD18" s="935">
        <f t="shared" si="5"/>
        <v>0</v>
      </c>
      <c r="AE18" s="935">
        <f t="shared" si="5"/>
        <v>39</v>
      </c>
      <c r="AF18" s="935">
        <f t="shared" si="5"/>
        <v>0</v>
      </c>
      <c r="AG18" s="935">
        <f t="shared" si="5"/>
        <v>0</v>
      </c>
      <c r="AH18" s="935">
        <f t="shared" si="5"/>
        <v>0</v>
      </c>
      <c r="AI18" s="935">
        <f t="shared" si="5"/>
        <v>0</v>
      </c>
      <c r="AJ18" s="935">
        <f t="shared" si="5"/>
        <v>31</v>
      </c>
      <c r="AK18" s="935">
        <f t="shared" si="5"/>
        <v>112</v>
      </c>
      <c r="AL18" s="935">
        <f t="shared" si="5"/>
        <v>0</v>
      </c>
      <c r="AM18" s="935">
        <f t="shared" si="5"/>
        <v>0</v>
      </c>
      <c r="AN18" s="935">
        <f t="shared" si="5"/>
        <v>0</v>
      </c>
      <c r="AO18" s="937">
        <f>IF(ISNUMBER(((NºAsuntos!I18/NºAsuntos!G18)*11)/factor_trimestre),((NºAsuntos!I18/NºAsuntos!G18)*11)/factor_trimestre," - ")</f>
        <v>2.6634146341463416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194</v>
      </c>
      <c r="G19" s="823">
        <f t="shared" si="7"/>
        <v>212</v>
      </c>
      <c r="H19" s="824">
        <f t="shared" si="7"/>
        <v>0</v>
      </c>
      <c r="I19" s="823">
        <f t="shared" si="7"/>
        <v>0</v>
      </c>
      <c r="J19" s="825">
        <f t="shared" si="7"/>
        <v>0</v>
      </c>
      <c r="K19" s="823">
        <f t="shared" si="7"/>
        <v>0</v>
      </c>
      <c r="L19" s="826">
        <f t="shared" si="7"/>
        <v>0</v>
      </c>
      <c r="M19" s="823">
        <f t="shared" si="7"/>
        <v>0</v>
      </c>
      <c r="N19" s="824">
        <f t="shared" si="7"/>
        <v>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213</v>
      </c>
      <c r="Z19" s="830">
        <f t="shared" si="8"/>
        <v>18</v>
      </c>
      <c r="AA19" s="831">
        <f t="shared" si="8"/>
        <v>187</v>
      </c>
      <c r="AB19" s="831">
        <f t="shared" si="8"/>
        <v>0</v>
      </c>
      <c r="AC19" s="831">
        <f t="shared" si="8"/>
        <v>0</v>
      </c>
      <c r="AD19" s="832">
        <f t="shared" si="8"/>
        <v>0</v>
      </c>
      <c r="AE19" s="832">
        <f t="shared" si="8"/>
        <v>988</v>
      </c>
      <c r="AF19" s="833">
        <f t="shared" si="8"/>
        <v>0</v>
      </c>
      <c r="AG19" s="834">
        <f t="shared" si="8"/>
        <v>0</v>
      </c>
      <c r="AH19" s="835">
        <f t="shared" si="8"/>
        <v>0</v>
      </c>
      <c r="AI19" s="833">
        <f t="shared" si="8"/>
        <v>0</v>
      </c>
      <c r="AJ19" s="823">
        <f t="shared" si="8"/>
        <v>83</v>
      </c>
      <c r="AK19" s="823">
        <f t="shared" si="8"/>
        <v>121</v>
      </c>
      <c r="AL19" s="823">
        <f t="shared" si="8"/>
        <v>0</v>
      </c>
      <c r="AM19" s="836">
        <f t="shared" si="8"/>
        <v>0</v>
      </c>
      <c r="AN19" s="826">
        <f>IF(ISNUMBER(Datos!K19/Datos!J19),Datos!K19/Datos!J19," - ")</f>
        <v>0.80126849894291752</v>
      </c>
      <c r="AO19" s="826">
        <f>IF(ISNUMBER(FIND("06",Criterios!A8,1)),(IF(ISNUMBER(((Datos!R19/Datos!Q19)*11)/factor_trimestre),((Datos!R19/Datos!Q19)*11)/factor_trimestre," - ")),(IF(ISNUMBER(((Datos!L19/Datos!K19)*11)/factor_trimestre),((Datos!L19/Datos!K19)*11)/factor_trimestre," - ")))</f>
        <v>6.2453825857519796</v>
      </c>
      <c r="AP19" s="837" t="str">
        <f>IF(ISNUMBER(Datos!CI19/Datos!CJ19),Datos!CI19/Datos!CJ19," - ")</f>
        <v xml:space="preserve"> - </v>
      </c>
      <c r="AQ19" s="837">
        <f>IF(OR(ISNUMBER(FIND("01",Criterios!A8,1)),ISNUMBER(FIND("02",Criterios!A8,1)),ISNUMBER(FIND("03",Criterios!A8,1)),ISNUMBER(FIND("04",Criterios!A8,1))),(J19-Y19+K19)/(F19-K19),(I19-Y19+K19)/(F19-K19))</f>
        <v>-1.097938144329897</v>
      </c>
      <c r="AR19" s="837">
        <f>IF(ISNUMBER((Datos!P19-Datos!Q19+O19)/(Datos!R19-Datos!P19+Datos!Q19-O19)),(Datos!P19-Datos!Q19+O19)/(Datos!R19-Datos!P19+Datos!Q19-O19)," - ")</f>
        <v>6.236559139784946E-2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99.304246300615631</v>
      </c>
      <c r="G21" s="555">
        <f>IF(ISNUMBER(STDEV(G8:G18)),STDEV(G8:G18),"-")</f>
        <v>97.273840265510231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19.956619620232946</v>
      </c>
      <c r="AK21" s="255"/>
      <c r="AL21" s="255">
        <f>IF(ISNUMBER(STDEV(AL8:AL18)),STDEV(AL8:AL18),"-")</f>
        <v>0</v>
      </c>
      <c r="AM21" s="257">
        <f>IF(ISNUMBER(STDEV(AM8:AM18)),STDEV(AM8:AM18),"-")</f>
        <v>0</v>
      </c>
      <c r="AN21" s="542">
        <f>IF(ISNUMBER(STDEV(AN8:AN18)),STDEV(AN8:AN18),"-")</f>
        <v>0</v>
      </c>
      <c r="AO21" s="543">
        <f>IF(ISNUMBER(STDEV(AO8:AO18)),STDEV(AO8:AO18),"-")</f>
        <v>3.8177859336202942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aO16Tk/c1HQXJgovRFYD0dG9PTwgPAKRaj4fUPQd1kEDJiGf4CRKlPATCHYsaUNn2UUi0EXlazUFJdn0yJERw==" saltValue="dFJ15Rq7xXaF6Qc6TKK4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s3kB6UouflSedbAzCK023YUH5o+JqJK71lttU2UB+cRupvOI22cAA7kTradn5iPncSmksPN9nj8qAz1ykL6aQ==" saltValue="68OvSBLfcriiGkhBWBep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8NT1H/2Seg6H6lS/FdO+4FjH3d0/ztAErFLt+e+gqFgBLaf6oWLGjGDkjXK0dk6MEa5HuBSoWJAMmr5+eAtCw==" saltValue="qSPVWvbJkl60vxbSbPo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O BARCO DE VALDEORRAS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0.26262626262626265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0.18570481122070948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2Yzo4L5ZihC9OF81m1uvewqgPZ07RJn7GsIFgQ5XvewXNA1pDg4Bf3Bz6h5HHOXXPRxwYCHJ55o1iPMdcUV9cw==" saltValue="/k7AUx98svAR6nTZ6x0b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jzyVmZJWgRnLlMsHg7UwWSbQXDQFGLO8kPvloIlsdZdi6QcX6B+DPZIg0ouq9BV2MRoxpm0RzuaU2RMqyjsnw==" saltValue="1VNIXaAmn45c8wdQMlwv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O BARCO DE VALDEORRAS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2</v>
      </c>
      <c r="F10" s="407">
        <f>IF(ISNUMBER(E10/B10),E10/B10," - ")</f>
        <v>2</v>
      </c>
      <c r="G10" s="406">
        <f>IF(ISNUMBER(Datos!K10),Datos!K10," - ")</f>
        <v>8</v>
      </c>
      <c r="H10" s="407">
        <f>IF(ISNUMBER(G10/B10),G10/B10," - ")</f>
        <v>8</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519</v>
      </c>
      <c r="D12" s="407">
        <f>IF(ISNUMBER(C12/Datos!BH12),C12/Datos!BH12," - ")</f>
        <v>259.5</v>
      </c>
      <c r="E12" s="406">
        <f>IF(ISNUMBER(IF(J_V="SI",Datos!J12,Datos!J12+Datos!Z12)),IF(J_V="SI",Datos!J12,Datos!J12+Datos!Z12)," - ")</f>
        <v>323</v>
      </c>
      <c r="F12" s="407">
        <f>IF(ISNUMBER(E12/B12),E12/B12," - ")</f>
        <v>161.5</v>
      </c>
      <c r="G12" s="406">
        <f>IF(ISNUMBER(IF(J_V="SI",Datos!K12,Datos!K12+Datos!AA12)),IF(J_V="SI",Datos!K12,Datos!K12+Datos!AA12)," - ")</f>
        <v>190</v>
      </c>
      <c r="H12" s="407">
        <f>IF(ISNUMBER(G12/B12),G12/B12," - ")</f>
        <v>95</v>
      </c>
      <c r="I12" s="406">
        <f>IF(ISNUMBER(IF(J_V="SI",Datos!L12,Datos!L12+Datos!AB12)),IF(J_V="SI",Datos!L12,Datos!L12+Datos!AB12)," - ")</f>
        <v>652</v>
      </c>
      <c r="J12" s="407">
        <f>IF(ISNUMBER(I12/B12),I12/B12," - ")</f>
        <v>326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530</v>
      </c>
      <c r="D13" s="853" t="str">
        <f>IF(ISNUMBER(C13/Datos!BI13),C13/Datos!BI13," - ")</f>
        <v xml:space="preserve"> - </v>
      </c>
      <c r="E13" s="852">
        <f>SUBTOTAL(9,E8:E12)</f>
        <v>325</v>
      </c>
      <c r="F13" s="853">
        <f>IF(ISNUMBER(E13/B13),E13/B13," - ")</f>
        <v>162.5</v>
      </c>
      <c r="G13" s="852">
        <f>SUBTOTAL(9,G8:G12)</f>
        <v>198</v>
      </c>
      <c r="H13" s="853">
        <f>IF(ISNUMBER(G13/B13),G13/B13," - ")</f>
        <v>99</v>
      </c>
      <c r="I13" s="852">
        <f>SUBTOTAL(9,I8:I12)</f>
        <v>657</v>
      </c>
      <c r="J13" s="853">
        <f>IF(ISNUMBER(I13/B13),I13/B13," - ")</f>
        <v>328.5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181</v>
      </c>
      <c r="D16" s="407">
        <f>IF(ISNUMBER(C16/Datos!BH16),C16/Datos!BH16," - ")</f>
        <v>90.5</v>
      </c>
      <c r="E16" s="406">
        <f>IF(ISNUMBER(IF(D_I="SI",Datos!J16,Datos!J16+Datos!AD16)),IF(D_I="SI",Datos!J16,Datos!J16+Datos!AD16)," - ")</f>
        <v>176</v>
      </c>
      <c r="F16" s="407">
        <f>IF(ISNUMBER(E16/B16),E16/B16," - ")</f>
        <v>88</v>
      </c>
      <c r="G16" s="406">
        <f>IF(ISNUMBER(IF(D_I="SI",Datos!K16,Datos!K16+Datos!AE16)),IF(D_I="SI",Datos!K16,Datos!K16+Datos!AE16)," - ")</f>
        <v>195</v>
      </c>
      <c r="H16" s="407">
        <f>IF(ISNUMBER(G16/B16),G16/B16," - ")</f>
        <v>97.5</v>
      </c>
      <c r="I16" s="406">
        <f>IF(ISNUMBER(IF(D_I="SI",Datos!L16,Datos!L16+Datos!AF16)),IF(D_I="SI",Datos!L16,Datos!L16+Datos!AF16)," - ")</f>
        <v>164</v>
      </c>
      <c r="J16" s="407">
        <f>IF(ISNUMBER(I16/B16),I16/B16," - ")</f>
        <v>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v>
      </c>
      <c r="D17" s="407">
        <f>IF(ISNUMBER(C17/Datos!BH17),C17/Datos!BH17," - ")</f>
        <v>20</v>
      </c>
      <c r="E17" s="406">
        <f>IF(ISNUMBER(IF(D_I="SI",Datos!J17,Datos!J17+Datos!AD17)),IF(D_I="SI",Datos!J17,Datos!J17+Datos!AD17)," - ")</f>
        <v>8</v>
      </c>
      <c r="F17" s="407">
        <f>IF(ISNUMBER(E17/B17),E17/B17," - ")</f>
        <v>8</v>
      </c>
      <c r="G17" s="406">
        <f>IF(ISNUMBER(IF(D_I="SI",Datos!K17,Datos!K17+Datos!AE17)),IF(D_I="SI",Datos!K17,Datos!K17+Datos!AE17)," - ")</f>
        <v>10</v>
      </c>
      <c r="H17" s="407">
        <f>IF(ISNUMBER(G17/B17),G17/B17," - ")</f>
        <v>10</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201</v>
      </c>
      <c r="D18" s="853" t="str">
        <f>IF(ISNUMBER(C18/Datos!BI18),C18/Datos!BI18," - ")</f>
        <v xml:space="preserve"> - </v>
      </c>
      <c r="E18" s="852">
        <f>SUBTOTAL(9,E14:E17)</f>
        <v>184</v>
      </c>
      <c r="F18" s="853">
        <f>IF(ISNUMBER(E18/B18),E18/B18," - ")</f>
        <v>92</v>
      </c>
      <c r="G18" s="852">
        <f>SUBTOTAL(9,G14:G17)</f>
        <v>205</v>
      </c>
      <c r="H18" s="853">
        <f>IF(ISNUMBER(G18/B18),G18/B18," - ")</f>
        <v>102.5</v>
      </c>
      <c r="I18" s="852">
        <f>SUBTOTAL(9,I14:I17)</f>
        <v>182</v>
      </c>
      <c r="J18" s="853">
        <f>IF(ISNUMBER(I18/B18),I18/B18," - ")</f>
        <v>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731</v>
      </c>
      <c r="D19" s="798" t="str">
        <f>IF(ISNUMBER(C19/Datos!BI19),C19/Datos!BI19," - ")</f>
        <v xml:space="preserve"> - </v>
      </c>
      <c r="E19" s="797">
        <f>SUBTOTAL(9,E9:E18)</f>
        <v>509</v>
      </c>
      <c r="F19" s="798">
        <f>IF(ISNUMBER(E19/B19),E19/B19," - ")</f>
        <v>254.5</v>
      </c>
      <c r="G19" s="797">
        <f>SUBTOTAL(9,G9:G18)</f>
        <v>403</v>
      </c>
      <c r="H19" s="798">
        <f>IF(ISNUMBER(G19/B19),G19/B19," - ")</f>
        <v>201.5</v>
      </c>
      <c r="I19" s="797">
        <f>SUBTOTAL(9,I9:I18)</f>
        <v>839</v>
      </c>
      <c r="J19" s="798">
        <f>IF(ISNUMBER(I19/B19),I19/B19," - ")</f>
        <v>419.5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h5M2jm31hetorqUcV6fSiPHqd529qdTWQq+6wHJEukB7XDXq3zxsXtqDXtwhOSZWskQKOp0Qg1bCXTfXG4vNA==" saltValue="HcS/tyg5drJpzr0htG0v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O BARCO DE VALDEORRAS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v>
      </c>
      <c r="AM12" s="693">
        <f>IF(ISNUMBER(Datos!N12+DatosP!N16),Datos!N12+DatosP!N16," - ")</f>
        <v>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10.294736842105264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6.2709966405375142E-2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70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14</v>
      </c>
      <c r="AE13" s="942">
        <f t="shared" si="1"/>
        <v>0</v>
      </c>
      <c r="AF13" s="942">
        <f t="shared" si="1"/>
        <v>5</v>
      </c>
      <c r="AG13" s="942">
        <f t="shared" si="1"/>
        <v>0</v>
      </c>
      <c r="AH13" s="942">
        <f t="shared" si="1"/>
        <v>949</v>
      </c>
      <c r="AI13" s="942">
        <f t="shared" si="1"/>
        <v>0</v>
      </c>
      <c r="AJ13" s="942">
        <f t="shared" si="1"/>
        <v>0</v>
      </c>
      <c r="AK13" s="942">
        <f t="shared" si="1"/>
        <v>0</v>
      </c>
      <c r="AL13" s="942">
        <f t="shared" si="1"/>
        <v>52</v>
      </c>
      <c r="AM13" s="942">
        <f t="shared" si="1"/>
        <v>9</v>
      </c>
      <c r="AN13" s="942">
        <f t="shared" si="1"/>
        <v>0</v>
      </c>
      <c r="AO13" s="942">
        <f t="shared" si="1"/>
        <v>0</v>
      </c>
      <c r="AP13" s="947">
        <f>IF(ISNUMBER(((Datos!L13/Datos!K13)*11)/factor_trimestre),((Datos!L13/Datos!K13)*11)/factor_trimestre," - ")</f>
        <v>10.465517241379311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-0.72727272727272729</v>
      </c>
      <c r="AU13" s="942" t="str">
        <f>IF(ISNUMBER((DatosP!#REF!-DatosP!#REF!+DatosP!#REF!)/(DatosP!#REF!+DatosP!#REF!-DatosP!#REF!-DatosP!#REF!)),(DatosP!#REF!-DatosP!#REF!+DatosP!#REF!)/(DatosP!#REF!+DatosP!#REF!-DatosP!#REF!-DatosP!#REF!)," - ")</f>
        <v xml:space="preserve"> - </v>
      </c>
      <c r="AV13" s="948">
        <f>SUBTOTAL(9,AV9:AV12)</f>
        <v>6.2709966405375142E-2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2.6634146341463416</v>
      </c>
      <c r="AQ18" s="947">
        <f>IF(ISNUMBER(((Datos!M18/Datos!L18)*11)/factor_trimestre),((Datos!M18/Datos!L18)*11)/factor_trimestre," - ")</f>
        <v>0.51098901098901106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5.4054054054054057E-2</v>
      </c>
      <c r="AW18" s="949">
        <f>IF(ISNUMBER((Datos!Q18-Datos!R18)/(Datos!S18-Datos!Q18+Datos!R18)),(Datos!Q18-Datos!R18)/(Datos!S18-Datos!Q18+Datos!R18)," - ")</f>
        <v>-0.15625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70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14</v>
      </c>
      <c r="AE19" s="960">
        <f t="shared" si="5"/>
        <v>0</v>
      </c>
      <c r="AF19" s="961">
        <f t="shared" si="5"/>
        <v>5</v>
      </c>
      <c r="AG19" s="961">
        <f t="shared" si="5"/>
        <v>0</v>
      </c>
      <c r="AH19" s="961">
        <f t="shared" si="5"/>
        <v>949</v>
      </c>
      <c r="AI19" s="961">
        <f t="shared" si="5"/>
        <v>0</v>
      </c>
      <c r="AJ19" s="962">
        <f t="shared" si="5"/>
        <v>0</v>
      </c>
      <c r="AK19" s="962">
        <f t="shared" si="5"/>
        <v>0</v>
      </c>
      <c r="AL19" s="954">
        <f t="shared" si="5"/>
        <v>52</v>
      </c>
      <c r="AM19" s="954">
        <f t="shared" si="5"/>
        <v>9</v>
      </c>
      <c r="AN19" s="954">
        <f t="shared" si="5"/>
        <v>0</v>
      </c>
      <c r="AO19" s="954">
        <f t="shared" si="5"/>
        <v>0</v>
      </c>
      <c r="AP19" s="954">
        <f>IF(ISNUMBER(((Datos!L19/Datos!K19)*11)/factor_trimestre),((Datos!L19/Datos!K19)*11)/factor_trimestre," - ")</f>
        <v>6.2453825857519796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-0.72727272727272729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6.236559139784946E-2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26.29321839055336</v>
      </c>
      <c r="AM21" s="739"/>
      <c r="AN21" s="739">
        <f>IF(ISNUMBER(STDEV(AN8:AN18)),STDEV(AN8:AN18),"-")</f>
        <v>0</v>
      </c>
      <c r="AO21" s="745">
        <f>IF(ISNUMBER(STDEV(AO8:AO18)),STDEV(AO8:AO18),"-")</f>
        <v>0</v>
      </c>
      <c r="AP21" s="782">
        <f>IF(ISNUMBER(STDEV(AP8:AP18)),STDEV(AP8:AP18),"-")</f>
        <v>4.6944080411372662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qFEWHb+Rjt1PmsPflsRcu1oOVP+lZEY6/CBiN8HoyebIKGgySksPFd5ThLipKWZUpUie+/JN3MnxPj+fQJIMw==" saltValue="f4E0msoRD4GIMNTkVWTT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O BARCO DE VALDEORRAS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Ffozr2NeOrFVZSYeMVoMgrHixFhLk8NqMDyjbkqaDG2A+417SYfthw5C3WtHTg/u/HM980sZ9QfRY0iSIloVg==" saltValue="P8kVN/1a9VikfS/AbpEf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O BARCO DE VALDEORRAS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45</v>
      </c>
      <c r="E12" s="407">
        <f t="shared" si="0"/>
        <v>22.5</v>
      </c>
      <c r="F12" s="406">
        <f>IF(ISNUMBER(Datos!N12),Datos!N12," - ")</f>
        <v>9</v>
      </c>
      <c r="G12" s="407">
        <f t="shared" si="1"/>
        <v>4.5</v>
      </c>
      <c r="H12" s="406">
        <f>IF(ISNUMBER(Datos!O12),Datos!O12," - ")</f>
        <v>4</v>
      </c>
      <c r="I12" s="407">
        <f t="shared" si="2"/>
        <v>2</v>
      </c>
    </row>
    <row r="13" spans="1:9" ht="14.25" thickTop="1" thickBot="1">
      <c r="A13" s="851" t="str">
        <f>Datos!A13</f>
        <v>TOTAL</v>
      </c>
      <c r="B13" s="852">
        <f>Datos!AO13</f>
        <v>3</v>
      </c>
      <c r="C13" s="854">
        <f>Datos!AR13</f>
        <v>2</v>
      </c>
      <c r="D13" s="852">
        <f>SUBTOTAL(9,D9:D12)</f>
        <v>52</v>
      </c>
      <c r="E13" s="853">
        <f t="shared" si="0"/>
        <v>17.333333333333332</v>
      </c>
      <c r="F13" s="852">
        <f>SUBTOTAL(9,F9:F12)</f>
        <v>9</v>
      </c>
      <c r="G13" s="853">
        <f t="shared" si="1"/>
        <v>3</v>
      </c>
      <c r="H13" s="852">
        <f>SUBTOTAL(9,H9:H12)</f>
        <v>4</v>
      </c>
      <c r="I13" s="853">
        <f>IF(ISNUMBER(H13/B13),H13/B13," - ")</f>
        <v>1.3333333333333333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29</v>
      </c>
      <c r="E16" s="407">
        <f t="shared" si="3"/>
        <v>14.5</v>
      </c>
      <c r="F16" s="406">
        <f>IF(ISNUMBER(Datos!N16),Datos!N16," - ")</f>
        <v>107</v>
      </c>
      <c r="G16" s="407">
        <f t="shared" si="4"/>
        <v>53.5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3</v>
      </c>
      <c r="C18" s="854">
        <f>Datos!AR18</f>
        <v>2</v>
      </c>
      <c r="D18" s="852">
        <f>SUBTOTAL(9,D15:D17)</f>
        <v>31</v>
      </c>
      <c r="E18" s="853">
        <f t="shared" si="3"/>
        <v>10.333333333333334</v>
      </c>
      <c r="F18" s="852">
        <f>SUBTOTAL(9,F15:F17)</f>
        <v>112</v>
      </c>
      <c r="G18" s="853">
        <f t="shared" si="4"/>
        <v>37.333333333333336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83</v>
      </c>
      <c r="E19" s="798">
        <f>IF(ISNUMBER(D19/B19),D19/B19," - ")</f>
        <v>41.5</v>
      </c>
      <c r="F19" s="797">
        <f>SUBTOTAL(9,F8:F18)</f>
        <v>121</v>
      </c>
      <c r="G19" s="798">
        <f>IF(ISNUMBER(F19/B19),F19/B19," - ")</f>
        <v>60.5</v>
      </c>
      <c r="H19" s="797">
        <f>SUBTOTAL(9,H8:H18)</f>
        <v>4</v>
      </c>
      <c r="I19" s="798">
        <f>IF(ISNUMBER(H19/B19),H19/B19," - ")</f>
        <v>2</v>
      </c>
    </row>
    <row r="22" spans="1:9">
      <c r="A22" s="394" t="str">
        <f>Criterios!A4</f>
        <v>Fecha Informe: 07 mar. 2024</v>
      </c>
    </row>
    <row r="27" spans="1:9">
      <c r="A27" s="417"/>
    </row>
  </sheetData>
  <sheetProtection algorithmName="SHA-512" hashValue="5zYEvc1cXLtl51jJX8WNBYptaD0h+5aNzKiQEAY02Kxc8aoFhWvyaV5HtnkcsCwoCxPjbwhEzRtNDgzyk/CnCQ==" saltValue="lNeoC/yZH5Yx2VvAU2oC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O BARCO DE VALDEORRAS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70</v>
      </c>
      <c r="C12" s="437">
        <f>IF(ISNUMBER(Datos!Q12),Datos!Q12," - ")</f>
        <v>14</v>
      </c>
      <c r="D12" s="411">
        <f>IF(ISNUMBER(Datos!R12),Datos!R12," - ")</f>
        <v>949</v>
      </c>
    </row>
    <row r="13" spans="1:4" ht="14.25" thickTop="1" thickBot="1">
      <c r="A13" s="851" t="str">
        <f>Datos!A13</f>
        <v>TOTAL</v>
      </c>
      <c r="B13" s="852">
        <f>SUBTOTAL(9,B9:B12)</f>
        <v>70</v>
      </c>
      <c r="C13" s="856">
        <f>SUBTOTAL(9,C9:C12)</f>
        <v>14</v>
      </c>
      <c r="D13" s="854">
        <f>SUBTOTAL(9,D9:D12)</f>
        <v>949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4</v>
      </c>
      <c r="D16" s="411">
        <f>IF(ISNUMBER(Datos!R16),Datos!R16," - ")</f>
        <v>37</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6</v>
      </c>
      <c r="C18" s="856">
        <f>SUBTOTAL(9,C15:C17)</f>
        <v>4</v>
      </c>
      <c r="D18" s="854">
        <f>SUBTOTAL(9,D15:D17)</f>
        <v>39</v>
      </c>
    </row>
    <row r="19" spans="1:4" ht="16.5" customHeight="1" thickTop="1" thickBot="1">
      <c r="A19" s="796" t="str">
        <f>Datos!A19</f>
        <v>TOTAL JURISDICCIONES</v>
      </c>
      <c r="B19" s="801">
        <f>SUBTOTAL(9,B8:B18)</f>
        <v>76</v>
      </c>
      <c r="C19" s="802">
        <f>SUBTOTAL(9,C8:C18)</f>
        <v>18</v>
      </c>
      <c r="D19" s="803">
        <f>SUBTOTAL(9,D8:D18)</f>
        <v>988</v>
      </c>
    </row>
    <row r="20" spans="1:4" ht="7.5" customHeight="1"/>
    <row r="21" spans="1:4" ht="6" customHeight="1"/>
    <row r="22" spans="1:4">
      <c r="A22" s="394" t="str">
        <f>Criterios!A4</f>
        <v>Fecha Informe: 07 mar. 2024</v>
      </c>
    </row>
    <row r="27" spans="1:4">
      <c r="A27" s="417"/>
    </row>
  </sheetData>
  <sheetProtection algorithmName="SHA-512" hashValue="ir/N17N7Iuij7a/CshcoQJl+Tl4Srh/FrAs2LYjeIHzz8X5PT6es5p9tkWl68cAj73bgEkLLB56DycnuLxDrMw==" saltValue="0tbCG4dXTPugetciryjN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O BARCO DE VALDEORRAS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v>
      </c>
      <c r="C10" s="459">
        <f>IF(ISNUMBER((Datos!J10-Datos!T10)/Datos!T10),(Datos!J10-Datos!T10)/Datos!T10," - ")</f>
        <v>0</v>
      </c>
      <c r="D10" s="459">
        <f>IF(ISNUMBER((Datos!K10-Datos!U10)/Datos!U10),(Datos!K10-Datos!U10)/Datos!U10," - ")</f>
        <v>7</v>
      </c>
      <c r="E10" s="459">
        <f>IF(ISNUMBER((Datos!L10-Datos!V10)/Datos!V10),(Datos!L10-Datos!V10)/Datos!V10," - ")</f>
        <v>-0.54545454545454541</v>
      </c>
      <c r="F10" s="459">
        <f>IF(ISNUMBER((Datos!M10-Datos!W10)/Datos!W10),(Datos!M10-Datos!W10)/Datos!W10," - ")</f>
        <v>6</v>
      </c>
      <c r="G10" s="460" t="str">
        <f>IF(ISNUMBER((Datos!N10-Datos!X10)/Datos!X10),(Datos!N10-Datos!X10)/Datos!X10," - ")</f>
        <v xml:space="preserve"> - </v>
      </c>
      <c r="H10" s="458">
        <f>IF(ISNUMBER(((NºAsuntos!G10/NºAsuntos!E10)-Datos!BD10)/Datos!BD10),((NºAsuntos!G10/NºAsuntos!E10)-Datos!BD10)/Datos!BD10," - ")</f>
        <v>7</v>
      </c>
      <c r="I10" s="459">
        <f>IF(ISNUMBER(((NºAsuntos!I10/NºAsuntos!G10)-Datos!BE10)/Datos!BE10),((NºAsuntos!I10/NºAsuntos!G10)-Datos!BE10)/Datos!BE10," - ")</f>
        <v>-0.94318181818181823</v>
      </c>
      <c r="J10" s="464">
        <f>IF(ISNUMBER((('Resol  Asuntos'!D10/NºAsuntos!G10)-Datos!BF10)/Datos!BF10),(('Resol  Asuntos'!D10/NºAsuntos!G10)-Datos!BF10)/Datos!BF10," - ")</f>
        <v>-0.125</v>
      </c>
      <c r="K10" s="465">
        <f>IF(ISNUMBER((((NºAsuntos!C10+NºAsuntos!E10)/NºAsuntos!G10)-Datos!BG10)/Datos!BG10),(((NºAsuntos!C10+NºAsuntos!E10)/NºAsuntos!G10)-Datos!BG10)/Datos!BG10," - ")</f>
        <v>-0.86458333333333337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-5.6363636363636366E-2</v>
      </c>
      <c r="C12" s="459">
        <f>IF(ISNUMBER(
   IF(J_V="SI",(Datos!J12-Datos!T12)/Datos!T12,(Datos!J12+Datos!Z12-(Datos!T12+Datos!AH12))/(Datos!T12+Datos!AH12))
     ),IF(J_V="SI",(Datos!J12-Datos!T12)/Datos!T12,(Datos!J12+Datos!Z12-(Datos!T12+Datos!AH12))/(Datos!T12+Datos!AH12))," - ")</f>
        <v>0.12937062937062938</v>
      </c>
      <c r="D12" s="459">
        <f>IF(ISNUMBER(
   IF(J_V="SI",(Datos!K12-Datos!U12)/Datos!U12,(Datos!K12+Datos!AA12-(Datos!U12+Datos!AI12))/(Datos!U12+Datos!AI12))
     ),IF(J_V="SI",(Datos!K12-Datos!U12)/Datos!U12,(Datos!K12+Datos!AA12-(Datos!U12+Datos!AI12))/(Datos!U12+Datos!AI12))," - ")</f>
        <v>-0.3559322033898305</v>
      </c>
      <c r="E12" s="459">
        <f>IF(ISNUMBER(
   IF(J_V="SI",(Datos!L12-Datos!V12)/Datos!V12,(Datos!L12+Datos!AB12-(Datos!V12+Datos!AJ12))/(Datos!V12+Datos!AJ12))
     ),IF(J_V="SI",(Datos!L12-Datos!V12)/Datos!V12,(Datos!L12+Datos!AB12-(Datos!V12+Datos!AJ12))/(Datos!V12+Datos!AJ12))," - ")</f>
        <v>0.81615598885793872</v>
      </c>
      <c r="F12" s="459">
        <f>IF(ISNUMBER((Datos!M12-Datos!W12)/Datos!W12),(Datos!M12-Datos!W12)/Datos!W12," - ")</f>
        <v>-0.22413793103448276</v>
      </c>
      <c r="G12" s="460">
        <f>IF(ISNUMBER((Datos!N12-Datos!X12)/Datos!X12),(Datos!N12-Datos!X12)/Datos!X12," - ")</f>
        <v>-0.93525179856115104</v>
      </c>
      <c r="H12" s="458">
        <f>IF(ISNUMBER(((NºAsuntos!G12/NºAsuntos!E12)-Datos!BD12)/Datos!BD12),((NºAsuntos!G12/NºAsuntos!E12)-Datos!BD12)/Datos!BD12," - ")</f>
        <v>-0.42971086739780656</v>
      </c>
      <c r="I12" s="459">
        <f>IF(ISNUMBER(((NºAsuntos!I12/NºAsuntos!G12)-Datos!BE12)/Datos!BE12),((NºAsuntos!I12/NºAsuntos!G12)-Datos!BE12)/Datos!BE12," - ")</f>
        <v>1.8198211405952207</v>
      </c>
      <c r="J12" s="464">
        <f>IF(ISNUMBER((('Resol  Asuntos'!D12/NºAsuntos!G12)-Datos!BF12)/Datos!BF12),(('Resol  Asuntos'!D12/NºAsuntos!G12)-Datos!BF12)/Datos!BF12," - ")</f>
        <v>-0.4973494888299887</v>
      </c>
      <c r="K12" s="465">
        <f>IF(ISNUMBER((((NºAsuntos!C12+NºAsuntos!E12)/NºAsuntos!G12)-Datos!BG12)/Datos!BG12),(((NºAsuntos!C12+NºAsuntos!E12)/NºAsuntos!G12)-Datos!BG12)/Datos!BG12," - ")</f>
        <v>0.56377486779148822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-5.3571428571428568E-2</v>
      </c>
      <c r="C13" s="858">
        <f>IF(ISNUMBER(
   IF(J_V="SI",(Datos!J13-Datos!T13)/Datos!T13,(Datos!J13+Datos!Z13-(Datos!T13+Datos!AH13))/(Datos!T13+Datos!AH13))
     ),IF(J_V="SI",(Datos!J13-Datos!T13)/Datos!T13,(Datos!J13+Datos!Z13-(Datos!T13+Datos!AH13))/(Datos!T13+Datos!AH13))," - ")</f>
        <v>0.12847222222222221</v>
      </c>
      <c r="D13" s="858">
        <f>IF(ISNUMBER(
   IF(J_V="SI",(Datos!K13-Datos!U13)/Datos!U13,(Datos!K13+Datos!AA13-(Datos!U13+Datos!AI13))/(Datos!U13+Datos!AI13))
     ),IF(J_V="SI",(Datos!K13-Datos!U13)/Datos!U13,(Datos!K13+Datos!AA13-(Datos!U13+Datos!AI13))/(Datos!U13+Datos!AI13))," - ")</f>
        <v>-0.33108108108108109</v>
      </c>
      <c r="E13" s="858">
        <f>IF(ISNUMBER(
   IF(J_V="SI",(Datos!L13-Datos!V13)/Datos!V13,(Datos!L13+Datos!AB13-(Datos!V13+Datos!AJ13))/(Datos!V13+Datos!AJ13))
     ),IF(J_V="SI",(Datos!L13-Datos!V13)/Datos!V13,(Datos!L13+Datos!AB13-(Datos!V13+Datos!AJ13))/(Datos!V13+Datos!AJ13))," - ")</f>
        <v>0.77567567567567564</v>
      </c>
      <c r="F13" s="859">
        <f>IF(ISNUMBER((Datos!M13-Datos!W13)/Datos!W13),(Datos!M13-Datos!W13)/Datos!W13," - ")</f>
        <v>-0.11864406779661017</v>
      </c>
      <c r="G13" s="860">
        <f>IF(ISNUMBER((Datos!N13-Datos!X13)/Datos!X13),(Datos!N13-Datos!X13)/Datos!X13," - ")</f>
        <v>-0.93525179856115104</v>
      </c>
      <c r="H13" s="860">
        <f>IF(ISNUMBER(((NºAsuntos!G13/NºAsuntos!E13)-Datos!BD13)/Datos!BD13),((NºAsuntos!G13/NºAsuntos!E13)-Datos!BD13)/Datos!BD13," - ")</f>
        <v>-0.40723492723492716</v>
      </c>
      <c r="I13" s="860">
        <f>IF(ISNUMBER(((NºAsuntos!I13/NºAsuntos!G13)-Datos!BE13)/Datos!BE13),((NºAsuntos!I13/NºAsuntos!G13)-Datos!BE13)/Datos!BE13," - ")</f>
        <v>1.6545454545454548</v>
      </c>
      <c r="J13" s="860">
        <f>IF(ISNUMBER((('Resol  Asuntos'!D13/NºAsuntos!G13)-Datos!BF13)/Datos!BF13),(('Resol  Asuntos'!D13/NºAsuntos!G13)-Datos!BF13)/Datos!BF13," - ")</f>
        <v>-0.4447330447330447</v>
      </c>
      <c r="K13" s="860">
        <f>IF(ISNUMBER((((NºAsuntos!C13+NºAsuntos!E13)/NºAsuntos!G13)-Datos!BG13)/Datos!BG13),(((NºAsuntos!C13+NºAsuntos!E13)/NºAsuntos!G13)-Datos!BG13)/Datos!BG13," - ")</f>
        <v>0.50728987993138941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-1.092896174863388E-2</v>
      </c>
      <c r="C16" s="459">
        <f>IF(ISNUMBER(
   IF(D_I="SI",(Datos!J16-Datos!T16)/Datos!T16,(Datos!J16+Datos!AD16-(Datos!T16+Datos!AL16))/(Datos!T16+Datos!AL16))
     ),IF(D_I="SI",(Datos!J16-Datos!T16)/Datos!T16,(Datos!J16+Datos!AD16-(Datos!T16+Datos!AL16))/(Datos!T16+Datos!AL16))," - ")</f>
        <v>-7.3684210526315783E-2</v>
      </c>
      <c r="D16" s="459">
        <f>IF(ISNUMBER(
   IF(D_I="SI",(Datos!K16-Datos!U16)/Datos!U16,(Datos!K16+Datos!AE16-(Datos!U16+Datos!AM16))/(Datos!U16+Datos!AM16))
     ),IF(D_I="SI",(Datos!K16-Datos!U16)/Datos!U16,(Datos!K16+Datos!AE16-(Datos!U16+Datos!AM16))/(Datos!U16+Datos!AM16))," - ")</f>
        <v>-5.1020408163265302E-3</v>
      </c>
      <c r="E16" s="459">
        <f>IF(ISNUMBER(
   IF(D_I="SI",(Datos!L16-Datos!V16)/Datos!V16,(Datos!L16+Datos!AF16-(Datos!V16+Datos!AN16))/(Datos!V16+Datos!AN16))
     ),IF(D_I="SI",(Datos!L16-Datos!V16)/Datos!V16,(Datos!L16+Datos!AF16-(Datos!V16+Datos!AN16))/(Datos!V16+Datos!AN16))," - ")</f>
        <v>0.12328767123287671</v>
      </c>
      <c r="F16" s="459">
        <f>IF(ISNUMBER((Datos!M16-Datos!W16)/Datos!W16),(Datos!M16-Datos!W16)/Datos!W16," - ")</f>
        <v>-0.12121212121212122</v>
      </c>
      <c r="G16" s="460">
        <f>IF(ISNUMBER((Datos!N16-Datos!X16)/Datos!X16),(Datos!N16-Datos!X16)/Datos!X16," - ")</f>
        <v>0.12631578947368421</v>
      </c>
      <c r="H16" s="458">
        <f>IF(ISNUMBER(((NºAsuntos!G16/NºAsuntos!E16)-Datos!BD16)/Datos!BD16),((NºAsuntos!G16/NºAsuntos!E16)-Datos!BD16)/Datos!BD16," - ")</f>
        <v>7.4037569573283724E-2</v>
      </c>
      <c r="I16" s="459">
        <f>IF(ISNUMBER(((NºAsuntos!I16/NºAsuntos!G16)-Datos!BE16)/Datos!BE16),((NºAsuntos!I16/NºAsuntos!G16)-Datos!BE16)/Datos!BE16," - ")</f>
        <v>0.12904812082894268</v>
      </c>
      <c r="J16" s="464">
        <f>IF(ISNUMBER((('Resol  Asuntos'!D16/NºAsuntos!G16)-Datos!BF16)/Datos!BF16),(('Resol  Asuntos'!D16/NºAsuntos!G16)-Datos!BF16)/Datos!BF16," - ")</f>
        <v>-0.11670551670551667</v>
      </c>
      <c r="K16" s="465">
        <f>IF(ISNUMBER((((NºAsuntos!C16+NºAsuntos!E16)/NºAsuntos!G16)-Datos!BG16)/Datos!BG16),(((NºAsuntos!C16+NºAsuntos!E16)/NºAsuntos!G16)-Datos!BG16)/Datos!BG16," - ")</f>
        <v>-3.7987213858527595E-2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2.3333333333333335</v>
      </c>
      <c r="C17" s="459">
        <f>IF(ISNUMBER(
   IF(D_I="SI",(Datos!J17-Datos!T17)/Datos!T17,(Datos!J17+Datos!AD17-(Datos!T17+Datos!AL17))/(Datos!T17+Datos!AL17))
     ),IF(D_I="SI",(Datos!J17-Datos!T17)/Datos!T17,(Datos!J17+Datos!AD17-(Datos!T17+Datos!AL17))/(Datos!T17+Datos!AL17))," - ")</f>
        <v>-0.55555555555555558</v>
      </c>
      <c r="D17" s="459">
        <f>IF(ISNUMBER(
   IF(D_I="SI",(Datos!K17-Datos!U17)/Datos!U17,(Datos!K17+Datos!AE17-(Datos!U17+Datos!AM17))/(Datos!U17+Datos!AM17))
     ),IF(D_I="SI",(Datos!K17-Datos!U17)/Datos!U17,(Datos!K17+Datos!AE17-(Datos!U17+Datos!AM17))/(Datos!U17+Datos!AM17))," - ")</f>
        <v>-0.23076923076923078</v>
      </c>
      <c r="E17" s="459">
        <f>IF(ISNUMBER(
   IF(D_I="SI",(Datos!L17-Datos!V17)/Datos!V17,(Datos!L17+Datos!AF17-(Datos!V17+Datos!AN17))/(Datos!V17+Datos!AN17))
     ),IF(D_I="SI",(Datos!L17-Datos!V17)/Datos!V17,(Datos!L17+Datos!AF17-(Datos!V17+Datos!AN17))/(Datos!V17+Datos!AN17))," - ")</f>
        <v>0.2857142857142857</v>
      </c>
      <c r="F17" s="459" t="str">
        <f>IF(ISNUMBER((Datos!M17-Datos!W17)/Datos!W17),(Datos!M17-Datos!W17)/Datos!W17," - ")</f>
        <v xml:space="preserve"> - </v>
      </c>
      <c r="G17" s="460">
        <f>IF(ISNUMBER((Datos!N17-Datos!X17)/Datos!X17),(Datos!N17-Datos!X17)/Datos!X17," - ")</f>
        <v>-0.61538461538461542</v>
      </c>
      <c r="H17" s="458">
        <f>IF(ISNUMBER(((NºAsuntos!G17/NºAsuntos!E17)-Datos!BD17)/Datos!BD17),((NºAsuntos!G17/NºAsuntos!E17)-Datos!BD17)/Datos!BD17," - ")</f>
        <v>0.73076923076923084</v>
      </c>
      <c r="I17" s="459">
        <f>IF(ISNUMBER(((NºAsuntos!I17/NºAsuntos!G17)-Datos!BE17)/Datos!BE17),((NºAsuntos!I17/NºAsuntos!G17)-Datos!BE17)/Datos!BE17," - ")</f>
        <v>0.6714285714285716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0.5166666666666665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6.3492063492063489E-2</v>
      </c>
      <c r="C18" s="858">
        <f>IF(ISNUMBER(
   IF(Criterios!B14="SI",(Datos!J18-Datos!T18)/Datos!T18,(Datos!J18+Datos!AD18-(Datos!T18+Datos!AL18))/(Datos!T18+Datos!AL18))
     ),IF(Criterios!B14="SI",(Datos!J18-Datos!T18)/Datos!T18,(Datos!J18+Datos!AD18-(Datos!T18+Datos!AL18))/(Datos!T18+Datos!AL18))," - ")</f>
        <v>-0.11538461538461539</v>
      </c>
      <c r="D18" s="858">
        <f>IF(ISNUMBER(
   IF(Criterios!B14="SI",(Datos!K18-Datos!U18)/Datos!U18,(Datos!K18+Datos!AE18-(Datos!U18+Datos!AM18))/(Datos!U18+Datos!AM18))
     ),IF(Criterios!B14="SI",(Datos!K18-Datos!U18)/Datos!U18,(Datos!K18+Datos!AE18-(Datos!U18+Datos!AM18))/(Datos!U18+Datos!AM18))," - ")</f>
        <v>-1.9138755980861243E-2</v>
      </c>
      <c r="E18" s="858">
        <f>IF(ISNUMBER(
   IF(Criterios!B14="SI",(Datos!L18-Datos!V18)/Datos!V18,(Datos!L18+Datos!AF18-(Datos!V18+Datos!AN18))/(Datos!V18+Datos!AN18))
     ),IF(Criterios!B14="SI",(Datos!L18-Datos!V18)/Datos!V18,(Datos!L18+Datos!AF18-(Datos!V18+Datos!AN18))/(Datos!V18+Datos!AN18))," - ")</f>
        <v>0.13750000000000001</v>
      </c>
      <c r="F18" s="859">
        <f>IF(ISNUMBER((Datos!M18-Datos!W18)/Datos!W18),(Datos!M18-Datos!W18)/Datos!W18," - ")</f>
        <v>-6.0606060606060608E-2</v>
      </c>
      <c r="G18" s="860">
        <f>IF(ISNUMBER((Datos!N18-Datos!X18)/Datos!X18),(Datos!N18-Datos!X18)/Datos!X18," - ")</f>
        <v>3.7037037037037035E-2</v>
      </c>
      <c r="H18" s="860">
        <f>IF(ISNUMBER(((NºAsuntos!G18/NºAsuntos!E18)-Datos!BD18)/Datos!BD18),((NºAsuntos!G18/NºAsuntos!E18)-Datos!BD18)/Datos!BD18," - ")</f>
        <v>0.10879966715206987</v>
      </c>
      <c r="I18" s="860">
        <f>IF(ISNUMBER(((NºAsuntos!I18/NºAsuntos!G18)-Datos!BE18)/Datos!BE18),((NºAsuntos!I18/NºAsuntos!G18)-Datos!BE18)/Datos!BE18," - ")</f>
        <v>0.15969512195121954</v>
      </c>
      <c r="J18" s="860">
        <f>IF(ISNUMBER((('Resol  Asuntos'!D18/NºAsuntos!G18)-Datos!BF18)/Datos!BF18),(('Resol  Asuntos'!D18/NºAsuntos!G18)-Datos!BF18)/Datos!BF18," - ")</f>
        <v>-4.227642276422762E-2</v>
      </c>
      <c r="K18" s="860">
        <f>IF(ISNUMBER((((NºAsuntos!C18+NºAsuntos!E18)/NºAsuntos!G18)-Datos!BG18)/Datos!BG18),(((NºAsuntos!C18+NºAsuntos!E18)/NºAsuntos!G18)-Datos!BG18)/Datos!BG18," - ")</f>
        <v>-1.1304294403145615E-2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-2.4032042723631509E-2</v>
      </c>
      <c r="C19" s="805">
        <f>IF(ISNUMBER(
   IF(J_V="SI",(Datos!J19-Datos!T19)/Datos!T19,(Datos!J19+Datos!Z19-(Datos!T19+Datos!AH19))/(Datos!T19+Datos!AH19))
     ),IF(J_V="SI",(Datos!J19-Datos!T19)/Datos!T19,(Datos!J19+Datos!Z19-(Datos!T19+Datos!AH19))/(Datos!T19+Datos!AH19))," - ")</f>
        <v>2.620967741935484E-2</v>
      </c>
      <c r="D19" s="805">
        <f>IF(ISNUMBER(
   IF(J_V="SI",(Datos!K19-Datos!U19)/Datos!U19,(Datos!K19+Datos!AA19-(Datos!U19+Datos!AI19))/(Datos!U19+Datos!AI19))
     ),IF(J_V="SI",(Datos!K19-Datos!U19)/Datos!U19,(Datos!K19+Datos!AA19-(Datos!U19+Datos!AI19))/(Datos!U19+Datos!AI19))," - ")</f>
        <v>-0.20198019801980199</v>
      </c>
      <c r="E19" s="805">
        <f>IF(ISNUMBER(
   IF(J_V="SI",(Datos!L19-Datos!V19)/Datos!V19,(Datos!L19+Datos!AB19-(Datos!V19+Datos!AJ19))/(Datos!V19+Datos!AJ19))
     ),IF(J_V="SI",(Datos!L19-Datos!V19)/Datos!V19,(Datos!L19+Datos!AB19-(Datos!V19+Datos!AJ19))/(Datos!V19+Datos!AJ19))," - ")</f>
        <v>0.58301886792452828</v>
      </c>
      <c r="F19" s="806">
        <f>IF(ISNUMBER((Datos!M19-Datos!W19)/Datos!W19),(Datos!M19-Datos!W19)/Datos!W19," - ")</f>
        <v>-9.7826086956521743E-2</v>
      </c>
      <c r="G19" s="807">
        <f>IF(ISNUMBER((Datos!N19-Datos!X19)/Datos!X19),(Datos!N19-Datos!X19)/Datos!X19," - ")</f>
        <v>-0.51012145748987858</v>
      </c>
      <c r="H19" s="808">
        <f>IF(ISNUMBER((Tasas!B19-Datos!BD19)/Datos!BD19),(Tasas!B19-Datos!BD19)/Datos!BD19," - ")</f>
        <v>-0.22236184325701722</v>
      </c>
      <c r="I19" s="809">
        <f>IF(ISNUMBER((Tasas!C19-Datos!BE19)/Datos!BE19),(Tasas!C19-Datos!BE19)/Datos!BE19," - ")</f>
        <v>0.98368369305679093</v>
      </c>
      <c r="J19" s="810">
        <f>IF(ISNUMBER((Tasas!D19-Datos!BF19)/Datos!BF19),(Tasas!D19-Datos!BF19)/Datos!BF19," - ")</f>
        <v>-0.39880090075876024</v>
      </c>
      <c r="K19" s="810">
        <f>IF(ISNUMBER((Tasas!E19-Datos!BG19)/Datos!BG19),(Tasas!E19-Datos!BG19)/Datos!BG19," - ")</f>
        <v>0.24806919987642886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Rxf8m3Cd1Q2x0dNsKJbz+833GxSIsTPKXtPXdjcU9UVynHLghvx8r7Gsjv4+yCoCeYbM9LhZpKj0TJii9CVeA==" saltValue="2z3/GCA3QJMXqLlw9a/9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O BARCO DE VALDEORRAS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4</v>
      </c>
      <c r="C10" s="446">
        <f>IF(ISNUMBER(NºAsuntos!I10/NºAsuntos!G10),NºAsuntos!I10/NºAsuntos!G10," - ")</f>
        <v>0.625</v>
      </c>
      <c r="D10" s="447">
        <f>IF(ISNUMBER('Resol  Asuntos'!D10/NºAsuntos!G10),'Resol  Asuntos'!D10/NºAsuntos!G10," - ")</f>
        <v>0.875</v>
      </c>
      <c r="E10" s="448">
        <f>IF(ISNUMBER((NºAsuntos!C10+NºAsuntos!E10)/NºAsuntos!G10),(NºAsuntos!C10+NºAsuntos!E10)/NºAsuntos!G10," - ")</f>
        <v>1.625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0.58823529411764708</v>
      </c>
      <c r="C12" s="446">
        <f>IF(ISNUMBER(NºAsuntos!I12/NºAsuntos!G12),NºAsuntos!I12/NºAsuntos!G12," - ")</f>
        <v>3.4315789473684211</v>
      </c>
      <c r="D12" s="447">
        <f>IF(ISNUMBER('Resol  Asuntos'!D12/NºAsuntos!G12),'Resol  Asuntos'!D12/NºAsuntos!G12," - ")</f>
        <v>0.23684210526315788</v>
      </c>
      <c r="E12" s="448">
        <f>IF(ISNUMBER((NºAsuntos!C12+NºAsuntos!E12)/NºAsuntos!G12),(NºAsuntos!C12+NºAsuntos!E12)/NºAsuntos!G12," - ")</f>
        <v>4.4315789473684211</v>
      </c>
      <c r="G12" s="466"/>
    </row>
    <row r="13" spans="1:7" ht="14.25" thickTop="1" thickBot="1">
      <c r="A13" s="851" t="str">
        <f>Datos!A13</f>
        <v>TOTAL</v>
      </c>
      <c r="B13" s="861">
        <f>IF(ISNUMBER(NºAsuntos!G13/NºAsuntos!E13),NºAsuntos!G13/NºAsuntos!E13," - ")</f>
        <v>0.60923076923076924</v>
      </c>
      <c r="C13" s="862">
        <f>IF(ISNUMBER(NºAsuntos!I13/NºAsuntos!G13),NºAsuntos!I13/NºAsuntos!G13," - ")</f>
        <v>3.3181818181818183</v>
      </c>
      <c r="D13" s="863">
        <f>IF(ISNUMBER('Resol  Asuntos'!D13/NºAsuntos!G13),'Resol  Asuntos'!D13/NºAsuntos!G13," - ")</f>
        <v>0.26262626262626265</v>
      </c>
      <c r="E13" s="864">
        <f>IF(ISNUMBER((NºAsuntos!C13+NºAsuntos!E13)/NºAsuntos!G13),(NºAsuntos!C13+NºAsuntos!E13)/NºAsuntos!G13," - ")</f>
        <v>4.3181818181818183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1.1079545454545454</v>
      </c>
      <c r="C16" s="446">
        <f>IF(ISNUMBER(NºAsuntos!I16/NºAsuntos!G16),NºAsuntos!I16/NºAsuntos!G16," - ")</f>
        <v>0.84102564102564104</v>
      </c>
      <c r="D16" s="447">
        <f>IF(ISNUMBER('Resol  Asuntos'!D16/NºAsuntos!G16),'Resol  Asuntos'!D16/NºAsuntos!G16," - ")</f>
        <v>0.14871794871794872</v>
      </c>
      <c r="E16" s="448">
        <f>IF(ISNUMBER((NºAsuntos!C16+NºAsuntos!E16)/NºAsuntos!G16),(NºAsuntos!C16+NºAsuntos!E16)/NºAsuntos!G16," - ")</f>
        <v>1.8307692307692307</v>
      </c>
      <c r="G16" s="466"/>
    </row>
    <row r="17" spans="1:7" ht="13.5" thickBot="1">
      <c r="A17" s="405" t="str">
        <f>Datos!A17</f>
        <v>Jdos. Violencia contra la mujer</v>
      </c>
      <c r="B17" s="445">
        <f>IF(ISNUMBER(NºAsuntos!G17/NºAsuntos!E17),NºAsuntos!G17/NºAsuntos!E17," - ")</f>
        <v>1.25</v>
      </c>
      <c r="C17" s="446">
        <f>IF(ISNUMBER(NºAsuntos!I17/NºAsuntos!G17),NºAsuntos!I17/NºAsuntos!G17," - ")</f>
        <v>1.8</v>
      </c>
      <c r="D17" s="447">
        <f>IF(ISNUMBER('Resol  Asuntos'!D17/NºAsuntos!G17),'Resol  Asuntos'!D17/NºAsuntos!G17," - ")</f>
        <v>0.2</v>
      </c>
      <c r="E17" s="448">
        <f>IF(ISNUMBER((NºAsuntos!C17+NºAsuntos!E17)/NºAsuntos!G17),(NºAsuntos!C17+NºAsuntos!E17)/NºAsuntos!G17," - ")</f>
        <v>2.8</v>
      </c>
      <c r="G17" s="466"/>
    </row>
    <row r="18" spans="1:7" ht="14.25" thickTop="1" thickBot="1">
      <c r="A18" s="851" t="str">
        <f>Datos!A18</f>
        <v>TOTAL</v>
      </c>
      <c r="B18" s="861">
        <f>IF(ISNUMBER(NºAsuntos!G18/NºAsuntos!E18),NºAsuntos!G18/NºAsuntos!E18," - ")</f>
        <v>1.1141304347826086</v>
      </c>
      <c r="C18" s="862">
        <f>IF(ISNUMBER(NºAsuntos!I18/NºAsuntos!G18),NºAsuntos!I18/NºAsuntos!G18," - ")</f>
        <v>0.8878048780487805</v>
      </c>
      <c r="D18" s="865">
        <f>IF(ISNUMBER('Resol  Asuntos'!D18/NºAsuntos!G18),'Resol  Asuntos'!D18/NºAsuntos!G18," - ")</f>
        <v>0.15121951219512195</v>
      </c>
      <c r="E18" s="864">
        <f>IF(ISNUMBER((NºAsuntos!C18+NºAsuntos!E18)/NºAsuntos!G18),(NºAsuntos!C18+NºAsuntos!E18)/NºAsuntos!G18," - ")</f>
        <v>1.8780487804878048</v>
      </c>
      <c r="G18" s="466"/>
    </row>
    <row r="19" spans="1:7" ht="15.75" customHeight="1" thickTop="1" thickBot="1">
      <c r="A19" s="796" t="str">
        <f>Datos!A19</f>
        <v>TOTAL JURISDICCIONES</v>
      </c>
      <c r="B19" s="811">
        <f>IF(ISNUMBER(NºAsuntos!G19/NºAsuntos!E19),NºAsuntos!G19/NºAsuntos!E19," - ")</f>
        <v>0.79174852652259331</v>
      </c>
      <c r="C19" s="812">
        <f>IF(ISNUMBER(NºAsuntos!I19/NºAsuntos!G19),NºAsuntos!I19/NºAsuntos!G19," - ")</f>
        <v>2.0818858560794045</v>
      </c>
      <c r="D19" s="813">
        <f>IF(ISNUMBER('Resol  Asuntos'!D19/NºAsuntos!G19),'Resol  Asuntos'!D19/NºAsuntos!G19," - ")</f>
        <v>0.20595533498759305</v>
      </c>
      <c r="E19" s="814">
        <f>IF(ISNUMBER((NºAsuntos!C19+NºAsuntos!E19)/NºAsuntos!G19),(NºAsuntos!C19+NºAsuntos!E19)/NºAsuntos!G19," - ")</f>
        <v>3.0769230769230771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bCjslIhEswieQ5H2YW6AOTP+tzToPS1v+00rOdDoxkGDAaNGsdiFcpB2Ek8K8h9J91tYQaxYTeDOf5sXyyJQg==" saltValue="5o81cp6ur6zdHub1woJ6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O BARCO DE VALDEORRAS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4</v>
      </c>
      <c r="AM10" s="263">
        <f>IF(ISNUMBER(((NºAsuntos!I10/NºAsuntos!G10)*11)/factor_trimestre),((NºAsuntos!I10/NºAsuntos!G10)*11)/factor_trimestre," - ")</f>
        <v>1.875</v>
      </c>
      <c r="AN10" s="247">
        <f>IF(ISNUMBER('Resol  Asuntos'!D10/NºAsuntos!G10),'Resol  Asuntos'!D10/NºAsuntos!G10," - ")</f>
        <v>0.875</v>
      </c>
      <c r="AO10" s="248">
        <f>IF(ISNUMBER((NºAsuntos!C10+NºAsuntos!E10)/NºAsuntos!G10),(NºAsuntos!C10+NºAsuntos!E10)/NºAsuntos!G10," - ")</f>
        <v>1.625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v>
      </c>
      <c r="Y12" s="337">
        <f t="shared" si="0"/>
        <v>14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v>
      </c>
      <c r="AJ12" s="232" t="str">
        <f>IF(ISNUMBER(Datos!BW12),Datos!BW12," - ")</f>
        <v xml:space="preserve"> - </v>
      </c>
      <c r="AK12" s="231" t="str">
        <f>IF(ISNUMBER(Datos!BX12),Datos!BX12," - ")</f>
        <v xml:space="preserve"> - </v>
      </c>
      <c r="AL12" s="246">
        <f>IF(ISNUMBER(NºAsuntos!G12/NºAsuntos!E12),NºAsuntos!G12/NºAsuntos!E12," - ")</f>
        <v>0.58823529411764708</v>
      </c>
      <c r="AM12" s="263">
        <f>IF(ISNUMBER(((NºAsuntos!I12/NºAsuntos!G12)*11)/factor_trimestre),((NºAsuntos!I12/NºAsuntos!G12)*11)/factor_trimestre," - ")</f>
        <v>10.294736842105264</v>
      </c>
      <c r="AN12" s="247">
        <f>IF(ISNUMBER('Resol  Asuntos'!D12/NºAsuntos!G12),'Resol  Asuntos'!D12/NºAsuntos!G12," - ")</f>
        <v>0.23684210526315788</v>
      </c>
      <c r="AO12" s="248">
        <f>IF(ISNUMBER((NºAsuntos!C12+NºAsuntos!E12)/NºAsuntos!G12),(NºAsuntos!C12+NºAsuntos!E12)/NºAsuntos!G12," - ")</f>
        <v>4.4315789473684211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14</v>
      </c>
      <c r="Y13" s="871">
        <f t="shared" si="4"/>
        <v>22</v>
      </c>
      <c r="Z13" s="871">
        <f t="shared" si="4"/>
        <v>0</v>
      </c>
      <c r="AA13" s="871">
        <f t="shared" si="4"/>
        <v>5</v>
      </c>
      <c r="AB13" s="871">
        <f t="shared" si="4"/>
        <v>949</v>
      </c>
      <c r="AC13" s="871">
        <f t="shared" si="4"/>
        <v>5</v>
      </c>
      <c r="AD13" s="871">
        <f t="shared" si="4"/>
        <v>0</v>
      </c>
      <c r="AE13" s="875">
        <f t="shared" si="4"/>
        <v>0</v>
      </c>
      <c r="AF13" s="868">
        <f t="shared" si="4"/>
        <v>0</v>
      </c>
      <c r="AG13" s="876">
        <f t="shared" si="4"/>
        <v>0</v>
      </c>
      <c r="AH13" s="873">
        <f t="shared" si="4"/>
        <v>0</v>
      </c>
      <c r="AI13" s="868">
        <f t="shared" si="4"/>
        <v>52</v>
      </c>
      <c r="AJ13" s="870">
        <f t="shared" si="4"/>
        <v>0</v>
      </c>
      <c r="AK13" s="873">
        <f>SUBTOTAL(9,AK9:AK12)</f>
        <v>0</v>
      </c>
      <c r="AL13" s="877">
        <f>IF(ISNUMBER(NºAsuntos!G13/NºAsuntos!E13),NºAsuntos!G13/NºAsuntos!E13," - ")</f>
        <v>0.60923076923076924</v>
      </c>
      <c r="AM13" s="877">
        <f>IF(ISNUMBER(((NºAsuntos!I13/NºAsuntos!G13)*11)/factor_trimestre),((NºAsuntos!I13/NºAsuntos!G13)*11)/factor_trimestre," - ")</f>
        <v>9.954545454545455</v>
      </c>
      <c r="AN13" s="878">
        <f>IF(ISNUMBER('Resol  Asuntos'!D13/NºAsuntos!G13),'Resol  Asuntos'!D13/NºAsuntos!G13," - ")</f>
        <v>0.26262626262626265</v>
      </c>
      <c r="AO13" s="879">
        <f>IF(ISNUMBER((NºAsuntos!C13+NºAsuntos!E13)/NºAsuntos!G13),(NºAsuntos!C13+NºAsuntos!E13)/NºAsuntos!G13," - ")</f>
        <v>4.3181818181818183</v>
      </c>
      <c r="AP13" s="880" t="str">
        <f t="shared" si="2"/>
        <v xml:space="preserve"> - </v>
      </c>
      <c r="AQ13" s="880">
        <f>IF(ISNUMBER((H13-W13+K13)/(F13)),(H13-W13+K13)/(F13)," - ")</f>
        <v>-0.72727272727272729</v>
      </c>
      <c r="AR13" s="881">
        <f>IF(ISNUMBER((Datos!P13-Datos!Q13)/(Datos!R13-Datos!P13+Datos!Q13)),(Datos!P13-Datos!Q13)/(Datos!R13-Datos!P13+Datos!Q13)," - ")</f>
        <v>6.2709966405375142E-2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183</v>
      </c>
      <c r="G16" s="336">
        <f>IF(ISNUMBER(IF(D_I="SI",Datos!I16,Datos!I16+Datos!AC16)),IF(D_I="SI",Datos!I16,Datos!I16+Datos!AC16)," - ")</f>
        <v>181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195</v>
      </c>
      <c r="X16" s="229">
        <f>IF(ISNUMBER(Datos!Q16),Datos!Q16," - ")</f>
        <v>4</v>
      </c>
      <c r="Y16" s="337">
        <f t="shared" ref="Y16:Y17" si="7">SUM(W16:X16)</f>
        <v>199</v>
      </c>
      <c r="Z16" s="338" t="str">
        <f>IF(ISNUMBER(Datos!CC16),Datos!CC16," - ")</f>
        <v xml:space="preserve"> - </v>
      </c>
      <c r="AA16" s="335">
        <f>IF(ISNUMBER(IF(D_I="SI",Datos!L16,Datos!L16+Datos!AF16)),IF(D_I="SI",Datos!L16,Datos!L16+Datos!AF16)," - ")</f>
        <v>164</v>
      </c>
      <c r="AB16" s="337">
        <f>IF(ISNUMBER(Datos!R16),Datos!R16," - ")</f>
        <v>37</v>
      </c>
      <c r="AC16" s="337">
        <f t="shared" si="6"/>
        <v>201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v>
      </c>
      <c r="AJ16" s="234" t="str">
        <f>IF(ISNUMBER(Datos!BW16),Datos!BW16," - ")</f>
        <v xml:space="preserve"> - </v>
      </c>
      <c r="AK16" s="235" t="str">
        <f>IF(ISNUMBER(Datos!BX16),Datos!BX16," - ")</f>
        <v xml:space="preserve"> - </v>
      </c>
      <c r="AL16" s="246">
        <f>IF(ISNUMBER(NºAsuntos!G16/NºAsuntos!E16),NºAsuntos!G16/NºAsuntos!E16," - ")</f>
        <v>1.1079545454545454</v>
      </c>
      <c r="AM16" s="263">
        <f>IF(ISNUMBER(((NºAsuntos!I16/NºAsuntos!G16)*11)/factor_trimestre),((NºAsuntos!I16/NºAsuntos!G16)*11)/factor_trimestre," - ")</f>
        <v>2.5230769230769234</v>
      </c>
      <c r="AN16" s="247">
        <f>IF(ISNUMBER('Resol  Asuntos'!D16/NºAsuntos!G16),'Resol  Asuntos'!D16/NºAsuntos!G16," - ")</f>
        <v>0.14871794871794872</v>
      </c>
      <c r="AO16" s="248">
        <f>IF(ISNUMBER((NºAsuntos!C16+NºAsuntos!E16)/NºAsuntos!G16),(NºAsuntos!C16+NºAsuntos!E16)/NºAsuntos!G16," - ")</f>
        <v>1.8307692307692307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v>
      </c>
      <c r="X17" s="229">
        <f>IF(ISNUMBER(Datos!Q17),Datos!Q17," - ")</f>
        <v>0</v>
      </c>
      <c r="Y17" s="337">
        <f t="shared" si="7"/>
        <v>10</v>
      </c>
      <c r="Z17" s="338" t="str">
        <f>IF(ISNUMBER(Datos!CC17),Datos!CC17," - ")</f>
        <v xml:space="preserve"> - </v>
      </c>
      <c r="AA17" s="335">
        <f>IF(ISNUMBER(Datos!L17),Datos!L17,"-")</f>
        <v>18</v>
      </c>
      <c r="AB17" s="337">
        <f>IF(ISNUMBER(Datos!R17),Datos!R17," - ")</f>
        <v>2</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1.25</v>
      </c>
      <c r="AM17" s="263">
        <f>IF(ISNUMBER(((NºAsuntos!I17/NºAsuntos!G17)*11)/factor_trimestre),((NºAsuntos!I17/NºAsuntos!G17)*11)/factor_trimestre," - ")</f>
        <v>5.4</v>
      </c>
      <c r="AN17" s="247">
        <f>IF(ISNUMBER('Resol  Asuntos'!D17/NºAsuntos!G17),'Resol  Asuntos'!D17/NºAsuntos!G17," - ")</f>
        <v>0.2</v>
      </c>
      <c r="AO17" s="248">
        <f>IF(ISNUMBER((NºAsuntos!C17+NºAsuntos!E17)/NºAsuntos!G17),(NºAsuntos!C17+NºAsuntos!E17)/NºAsuntos!G17," - ")</f>
        <v>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183</v>
      </c>
      <c r="G18" s="869">
        <f>SUBTOTAL(9,G15:G17)</f>
        <v>201</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205</v>
      </c>
      <c r="X18" s="870">
        <f t="shared" si="11"/>
        <v>4</v>
      </c>
      <c r="Y18" s="871">
        <f t="shared" si="11"/>
        <v>209</v>
      </c>
      <c r="Z18" s="871">
        <f t="shared" si="11"/>
        <v>0</v>
      </c>
      <c r="AA18" s="871">
        <f t="shared" si="11"/>
        <v>182</v>
      </c>
      <c r="AB18" s="871">
        <f t="shared" si="11"/>
        <v>39</v>
      </c>
      <c r="AC18" s="871">
        <f t="shared" si="11"/>
        <v>221</v>
      </c>
      <c r="AD18" s="871">
        <f t="shared" si="11"/>
        <v>0</v>
      </c>
      <c r="AE18" s="875">
        <f t="shared" si="11"/>
        <v>0</v>
      </c>
      <c r="AF18" s="868">
        <f t="shared" si="11"/>
        <v>0</v>
      </c>
      <c r="AG18" s="876">
        <f t="shared" si="11"/>
        <v>0</v>
      </c>
      <c r="AH18" s="873">
        <f t="shared" si="11"/>
        <v>0</v>
      </c>
      <c r="AI18" s="868">
        <f t="shared" si="11"/>
        <v>31</v>
      </c>
      <c r="AJ18" s="870">
        <f t="shared" si="11"/>
        <v>0</v>
      </c>
      <c r="AK18" s="873">
        <f t="shared" si="11"/>
        <v>0</v>
      </c>
      <c r="AL18" s="877">
        <f>IF(ISNUMBER(NºAsuntos!G18/NºAsuntos!E18),NºAsuntos!G18/NºAsuntos!E18," - ")</f>
        <v>1.1141304347826086</v>
      </c>
      <c r="AM18" s="877">
        <f>IF(ISNUMBER(((NºAsuntos!I18/NºAsuntos!G18)*11)/factor_trimestre),((NºAsuntos!I18/NºAsuntos!G18)*11)/factor_trimestre," - ")</f>
        <v>2.6634146341463416</v>
      </c>
      <c r="AN18" s="878">
        <f>IF(ISNUMBER('Resol  Asuntos'!D18/NºAsuntos!G18),'Resol  Asuntos'!D18/NºAsuntos!G18," - ")</f>
        <v>0.15121951219512195</v>
      </c>
      <c r="AO18" s="879">
        <f>IF(ISNUMBER((NºAsuntos!C18+NºAsuntos!E18)/NºAsuntos!G18),(NºAsuntos!C18+NºAsuntos!E18)/NºAsuntos!G18," - ")</f>
        <v>1.8780487804878048</v>
      </c>
      <c r="AP18" s="880" t="str">
        <f t="shared" si="2"/>
        <v xml:space="preserve"> - </v>
      </c>
      <c r="AQ18" s="880">
        <f>IF(ISNUMBER((H18-W18+K18)/(F18)),(H18-W18+K18)/(F18)," - ")</f>
        <v>-1.1202185792349726</v>
      </c>
      <c r="AR18" s="881">
        <f>IF(ISNUMBER((Datos!P18-Datos!Q18)/(Datos!R18-Datos!P18+Datos!Q18)),(Datos!P18-Datos!Q18)/(Datos!R18-Datos!P18+Datos!Q18)," - ")</f>
        <v>5.4054054054054057E-2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194</v>
      </c>
      <c r="G19" s="824">
        <f t="shared" si="13"/>
        <v>212</v>
      </c>
      <c r="H19" s="823">
        <f t="shared" si="13"/>
        <v>0</v>
      </c>
      <c r="I19" s="825">
        <f t="shared" si="13"/>
        <v>0</v>
      </c>
      <c r="J19" s="825">
        <f t="shared" si="13"/>
        <v>0</v>
      </c>
      <c r="K19" s="884">
        <f t="shared" si="13"/>
        <v>0</v>
      </c>
      <c r="L19" s="825">
        <f t="shared" si="13"/>
        <v>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213</v>
      </c>
      <c r="X19" s="824">
        <f t="shared" si="14"/>
        <v>18</v>
      </c>
      <c r="Y19" s="831">
        <f t="shared" si="14"/>
        <v>231</v>
      </c>
      <c r="Z19" s="831">
        <f t="shared" si="14"/>
        <v>0</v>
      </c>
      <c r="AA19" s="831">
        <f t="shared" si="14"/>
        <v>187</v>
      </c>
      <c r="AB19" s="831">
        <f t="shared" si="14"/>
        <v>988</v>
      </c>
      <c r="AC19" s="831">
        <f t="shared" si="14"/>
        <v>226</v>
      </c>
      <c r="AD19" s="831">
        <f t="shared" si="14"/>
        <v>0</v>
      </c>
      <c r="AE19" s="833">
        <f t="shared" si="14"/>
        <v>0</v>
      </c>
      <c r="AF19" s="834">
        <f t="shared" si="14"/>
        <v>0</v>
      </c>
      <c r="AG19" s="835">
        <f t="shared" si="14"/>
        <v>0</v>
      </c>
      <c r="AH19" s="833">
        <f t="shared" si="14"/>
        <v>0</v>
      </c>
      <c r="AI19" s="823">
        <f t="shared" si="14"/>
        <v>83</v>
      </c>
      <c r="AJ19" s="823">
        <f t="shared" si="14"/>
        <v>0</v>
      </c>
      <c r="AK19" s="833">
        <f t="shared" si="14"/>
        <v>0</v>
      </c>
      <c r="AL19" s="887">
        <f>IF(ISNUMBER(NºAsuntos!G19/NºAsuntos!E19),NºAsuntos!G19/NºAsuntos!E19," - ")</f>
        <v>0.79174852652259331</v>
      </c>
      <c r="AM19" s="888">
        <f>IF(ISNUMBER(((NºAsuntos!I19/NºAsuntos!G19)*11)/factor_trimestre),((NºAsuntos!I19/NºAsuntos!G19)*11)/factor_trimestre," - ")</f>
        <v>6.2456575682382143</v>
      </c>
      <c r="AN19" s="888">
        <f>IF(ISNUMBER('Resol  Asuntos'!D19/NºAsuntos!G19),'Resol  Asuntos'!D19/NºAsuntos!G19," - ")</f>
        <v>0.20595533498759305</v>
      </c>
      <c r="AO19" s="889">
        <f>IF(ISNUMBER((NºAsuntos!C19+NºAsuntos!E19)/NºAsuntos!G19),(NºAsuntos!C19+NºAsuntos!E19)/NºAsuntos!G19," - ")</f>
        <v>3.0769230769230771</v>
      </c>
      <c r="AP19" s="890" t="str">
        <f t="shared" si="2"/>
        <v xml:space="preserve"> - </v>
      </c>
      <c r="AQ19" s="891">
        <f>IF(OR(ISNUMBER(FIND("01",Criterios!A8,1)),ISNUMBER(FIND("02",Criterios!A8,1)),ISNUMBER(FIND("03",Criterios!A8,1)),ISNUMBER(FIND("04",Criterios!A8,1))),(I19-W19+K19)/(F19-K19),(H19-W19+K19)/(F19-K19))</f>
        <v>-1.097938144329897</v>
      </c>
      <c r="AR19" s="892">
        <f>IF(ISNUMBER((Datos!P19-Datos!Q19)/(Datos!R19-Datos!P19+Datos!Q19)),(Datos!P19-Datos!Q19)/(Datos!R19-Datos!P19+Datos!Q19)," - ")</f>
        <v>6.236559139784946E-2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99.304246300615631</v>
      </c>
      <c r="G21" s="256">
        <f>IF(ISNUMBER(STDEV(G8:G18)),STDEV(G8:G18),"-")</f>
        <v>97.273840265510231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104.86038336759979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19.956619620232946</v>
      </c>
      <c r="AJ21" s="255">
        <f t="shared" si="18"/>
        <v>0</v>
      </c>
      <c r="AK21" s="257">
        <f t="shared" si="18"/>
        <v>0</v>
      </c>
      <c r="AL21" s="252">
        <f t="shared" si="18"/>
        <v>1.2823166724619564</v>
      </c>
      <c r="AM21" s="253">
        <f t="shared" si="18"/>
        <v>3.8177859336202942</v>
      </c>
      <c r="AN21" s="253">
        <f t="shared" si="18"/>
        <v>0.27932415002805244</v>
      </c>
      <c r="AO21" s="254">
        <f t="shared" si="18"/>
        <v>1.2756009559744996</v>
      </c>
      <c r="AP21" s="294" t="str">
        <f t="shared" si="18"/>
        <v>-</v>
      </c>
      <c r="AQ21" s="295">
        <f t="shared" si="18"/>
        <v>0.27785467656162888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yxlW7Mzia4lam8tbbmuglNf5HouIte3Biu9uOBlEaxYB+ZFonrAFK6jimx5B8p7htNcuTYmLGB68D/5C0vzMQ==" saltValue="tXjbhLfHEObtxKeG51gD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O BARCO DE VALDEORRAS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v>
      </c>
      <c r="E10" s="351">
        <f>IF(ISNUMBER((Datos!J10-Datos!T10)/Datos!T10),(Datos!J10-Datos!T10)/Datos!T10," - ")</f>
        <v>0</v>
      </c>
      <c r="F10" s="351">
        <f>IF(ISNUMBER((Datos!K10-Datos!U10)/Datos!U10),(Datos!K10-Datos!U10)/Datos!U10," - ")</f>
        <v>7</v>
      </c>
      <c r="G10" s="352">
        <f>IF(ISNUMBER((Datos!L10-Datos!V10)/Datos!V10),(Datos!L10-Datos!V10)/Datos!V10," - ")</f>
        <v>-0.54545454545454541</v>
      </c>
      <c r="H10" s="233">
        <f>IF(ISNUMBER((Datos!M10-Datos!W10)/Datos!W10),(Datos!M10-Datos!W10)/Datos!W10," - ")</f>
        <v>6</v>
      </c>
      <c r="I10" s="353">
        <f>IF(ISNUMBER((Tasas!C10-Datos!BE10)/Datos!BE10),(Tasas!C10-Datos!BE10)/Datos!BE10," - ")</f>
        <v>-0.94318181818181823</v>
      </c>
      <c r="J10" s="352">
        <f>IF(ISNUMBER((Tasas!D10-Datos!BF10)/Datos!BF10),(Tasas!D10-Datos!BF10)/Datos!BF10," - ")</f>
        <v>-0.125</v>
      </c>
      <c r="K10" s="354">
        <f>IF(ISNUMBER((Tasas!E10-Datos!BG10)/Datos!BG10),(Tasas!E10-Datos!BG10)/Datos!BG10," - ")</f>
        <v>-0.86458333333333337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-0.22413793103448276</v>
      </c>
      <c r="I12" s="353">
        <f>IF(ISNUMBER((Tasas!C12-Datos!BE12)/Datos!BE12),(Tasas!C12-Datos!BE12)/Datos!BE12," - ")</f>
        <v>1.8198211405952207</v>
      </c>
      <c r="J12" s="352">
        <f>IF(ISNUMBER((Tasas!D12-Datos!BF12)/Datos!BF12),(Tasas!D12-Datos!BF12)/Datos!BF12," - ")</f>
        <v>-0.4973494888299887</v>
      </c>
      <c r="K12" s="354">
        <f>IF(ISNUMBER((Tasas!E12-Datos!BG12)/Datos!BG12),(Tasas!E12-Datos!BG12)/Datos!BG12," - ")</f>
        <v>0.56377486779148822</v>
      </c>
      <c r="M12" t="e">
        <f>IF(Monitorios="SI",Datos!CE12,0)</f>
        <v>#REF!</v>
      </c>
      <c r="N12" t="e">
        <f>IF(Monitorios="SI",Datos!CF12,0)</f>
        <v>#REF!</v>
      </c>
      <c r="O12" t="e">
        <f>IF(Monitorios="SI",Datos!CG12,0)</f>
        <v>#REF!</v>
      </c>
      <c r="P12" t="e">
        <f>IF(Monitorios="SI",Datos!CH12,0)</f>
        <v>#REF!</v>
      </c>
      <c r="Q12">
        <f>IF(J_V="SI",0,Datos!AG12)</f>
        <v>82</v>
      </c>
      <c r="R12">
        <f>IF(J_V="SI",0,Datos!AH12)</f>
        <v>24</v>
      </c>
      <c r="S12">
        <f>IF(J_V="SI",0,Datos!AI12)</f>
        <v>30</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-0.11864406779661017</v>
      </c>
      <c r="I13" s="360">
        <f>IF(ISNUMBER((Tasas!C13-Datos!BE13)/Datos!BE13),(Tasas!C13-Datos!BE13)/Datos!BE13," - ")</f>
        <v>1.6545454545454548</v>
      </c>
      <c r="J13" s="358">
        <f>IF(ISNUMBER((Tasas!D13-Datos!BF13)/Datos!BF13),(Tasas!D13-Datos!BF13)/Datos!BF13," - ")</f>
        <v>-0.4447330447330447</v>
      </c>
      <c r="K13" s="361">
        <f>IF(ISNUMBER((Tasas!E13-Datos!BG13)/Datos!BG13),(Tasas!E13-Datos!BG13)/Datos!BG13," - ")</f>
        <v>0.50728987993138941</v>
      </c>
      <c r="M13" t="e">
        <f>IF(Monitorios="SI",Datos!CE13,0)</f>
        <v>#REF!</v>
      </c>
      <c r="N13" t="e">
        <f>IF(Monitorios="SI",Datos!CF13,0)</f>
        <v>#REF!</v>
      </c>
      <c r="O13" t="e">
        <f>IF(Monitorios="SI",Datos!CG13,0)</f>
        <v>#REF!</v>
      </c>
      <c r="P13" t="e">
        <f>IF(Monitorios="SI",Datos!CH13,0)</f>
        <v>#REF!</v>
      </c>
      <c r="Q13">
        <f>IF(J_V="SI",0,Datos!AG13)</f>
        <v>82</v>
      </c>
      <c r="R13">
        <f>IF(J_V="SI",0,Datos!AH13)</f>
        <v>24</v>
      </c>
      <c r="S13">
        <f>IF(J_V="SI",0,Datos!AI13)</f>
        <v>30</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-1.092896174863388E-2</v>
      </c>
      <c r="E16" s="351">
        <f>IF(ISNUMBER(
   IF(D_I="SI",(Datos!J16-Datos!T16)/Datos!T16,(Datos!J16+Datos!AD16-(Datos!T16+Datos!AL16))/(Datos!T16+Datos!AL16))
     ),IF(D_I="SI",(Datos!J16-Datos!T16)/Datos!T16,(Datos!J16+Datos!AD16-(Datos!T16+Datos!AL16))/(Datos!T16+Datos!AL16))," - ")</f>
        <v>-7.3684210526315783E-2</v>
      </c>
      <c r="F16" s="351">
        <f>IF(ISNUMBER(
   IF(D_I="SI",(Datos!K16-Datos!U16)/Datos!U16,(Datos!K16+Datos!AE16-(Datos!U16+Datos!AM16))/(Datos!U16+Datos!AM16))
     ),IF(D_I="SI",(Datos!K16-Datos!U16)/Datos!U16,(Datos!K16+Datos!AE16-(Datos!U16+Datos!AM16))/(Datos!U16+Datos!AM16))," - ")</f>
        <v>-5.1020408163265302E-3</v>
      </c>
      <c r="G16" s="352">
        <f>IF(ISNUMBER(
   IF(D_I="SI",(Datos!L16-Datos!V16)/Datos!V16,(Datos!L16+Datos!AF16-(Datos!V16+Datos!AN16))/(Datos!V16+Datos!AN16))
     ),IF(D_I="SI",(Datos!L16-Datos!V16)/Datos!V16,(Datos!L16+Datos!AF16-(Datos!V16+Datos!AN16))/(Datos!V16+Datos!AN16))," - ")</f>
        <v>0.12328767123287671</v>
      </c>
      <c r="H16" s="233">
        <f>IF(ISNUMBER((Datos!M16-Datos!W16)/Datos!W16),(Datos!M16-Datos!W16)/Datos!W16," - ")</f>
        <v>-0.12121212121212122</v>
      </c>
      <c r="I16" s="353">
        <f>IF(ISNUMBER((Tasas!C16-Datos!BE16)/Datos!BE16),(Tasas!C16-Datos!BE16)/Datos!BE16," - ")</f>
        <v>0.12904812082894268</v>
      </c>
      <c r="J16" s="352">
        <f>IF(ISNUMBER((Tasas!D16-Datos!BF16)/Datos!BF16),(Tasas!D16-Datos!BF16)/Datos!BF16," - ")</f>
        <v>-0.11670551670551667</v>
      </c>
      <c r="K16" s="354">
        <f>IF(ISNUMBER((Tasas!E16-Datos!BG16)/Datos!BG16),(Tasas!E16-Datos!BG16)/Datos!BG16," - ")</f>
        <v>-3.7987213858527595E-2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2.3333333333333335</v>
      </c>
      <c r="E17" s="351">
        <f>IF(ISNUMBER(
   IF(D_I="SI",(Datos!J17-Datos!T17)/Datos!T17,(Datos!J17+Datos!AD17-(Datos!T17+Datos!AL17))/(Datos!T17+Datos!AL17))
     ),IF(D_I="SI",(Datos!J17-Datos!T17)/Datos!T17,(Datos!J17+Datos!AD17-(Datos!T17+Datos!AL17))/(Datos!T17+Datos!AL17))," - ")</f>
        <v>-0.55555555555555558</v>
      </c>
      <c r="F17" s="351">
        <f>IF(ISNUMBER(
   IF(D_I="SI",(Datos!K17-Datos!U17)/Datos!U17,(Datos!K17+Datos!AE17-(Datos!U17+Datos!AM17))/(Datos!U17+Datos!AM17))
     ),IF(D_I="SI",(Datos!K17-Datos!U17)/Datos!U17,(Datos!K17+Datos!AE17-(Datos!U17+Datos!AM17))/(Datos!U17+Datos!AM17))," - ")</f>
        <v>-0.23076923076923078</v>
      </c>
      <c r="G17" s="352">
        <f>IF(ISNUMBER(
   IF(D_I="SI",(Datos!L17-Datos!V17)/Datos!V17,(Datos!L17+Datos!AF17-(Datos!V17+Datos!AN17))/(Datos!V17+Datos!AN17))
     ),IF(D_I="SI",(Datos!L17-Datos!V17)/Datos!V17,(Datos!L17+Datos!AF17-(Datos!V17+Datos!AN17))/(Datos!V17+Datos!AN17))," - ")</f>
        <v>0.2857142857142857</v>
      </c>
      <c r="H17" s="233" t="str">
        <f>IF(ISNUMBER((Datos!M17-Datos!W17)/Datos!W17),(Datos!M17-Datos!W17)/Datos!W17," - ")</f>
        <v xml:space="preserve"> - </v>
      </c>
      <c r="I17" s="353">
        <f>IF(ISNUMBER((Tasas!C17-Datos!BE17)/Datos!BE17),(Tasas!C17-Datos!BE17)/Datos!BE17," - ")</f>
        <v>0.6714285714285716</v>
      </c>
      <c r="J17" s="352" t="str">
        <f>IF(ISNUMBER((Tasas!D17-Datos!BF17)/Datos!BF17),(Tasas!D17-Datos!BF17)/Datos!BF17," - ")</f>
        <v xml:space="preserve"> - </v>
      </c>
      <c r="K17" s="354">
        <f>IF(ISNUMBER((Tasas!E17-Datos!BG17)/Datos!BG17),(Tasas!E17-Datos!BG17)/Datos!BG17," - ")</f>
        <v>0.5166666666666665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6.3492063492063489E-2</v>
      </c>
      <c r="E18" s="357">
        <f>IF(ISNUMBER(
   IF(D_I="SI",(Datos!J18-Datos!T18)/Datos!T18,(Datos!J18+Datos!AD18-(Datos!T18+Datos!AL18))/(Datos!T18+Datos!AL18))
     ),IF(D_I="SI",(Datos!J18-Datos!T18)/Datos!T18,(Datos!J18+Datos!AD18-(Datos!T18+Datos!AL18))/(Datos!T18+Datos!AL18))," - ")</f>
        <v>-0.11538461538461539</v>
      </c>
      <c r="F18" s="357">
        <f>IF(ISNUMBER(
   IF(D_I="SI",(Datos!K18-Datos!U18)/Datos!U18,(Datos!K18+Datos!AE18-(Datos!U18+Datos!AM18))/(Datos!U18+Datos!AM18))
     ),IF(D_I="SI",(Datos!K18-Datos!U18)/Datos!U18,(Datos!K18+Datos!AE18-(Datos!U18+Datos!AM18))/(Datos!U18+Datos!AM18))," - ")</f>
        <v>-1.9138755980861243E-2</v>
      </c>
      <c r="G18" s="358">
        <f>IF(ISNUMBER(
   IF(D_I="SI",(Datos!L18-Datos!V18)/Datos!V18,(Datos!L18+Datos!AF18-(Datos!V18+Datos!AN18))/(Datos!V18+Datos!AN18))
     ),IF(D_I="SI",(Datos!L18-Datos!V18)/Datos!V18,(Datos!L18+Datos!AF18-(Datos!V18+Datos!AN18))/(Datos!V18+Datos!AN18))," - ")</f>
        <v>0.13750000000000001</v>
      </c>
      <c r="H18" s="359">
        <f>IF(ISNUMBER((Datos!M18-Datos!W18)/Datos!W18),(Datos!M18-Datos!W18)/Datos!W18," - ")</f>
        <v>-6.0606060606060608E-2</v>
      </c>
      <c r="I18" s="360">
        <f>IF(ISNUMBER((Tasas!C18-Datos!BE18)/Datos!BE18),(Tasas!C18-Datos!BE18)/Datos!BE18," - ")</f>
        <v>0.15969512195121954</v>
      </c>
      <c r="J18" s="358">
        <f>IF(ISNUMBER((Tasas!D18-Datos!BF18)/Datos!BF18),(Tasas!D18-Datos!BF18)/Datos!BF18," - ")</f>
        <v>-4.227642276422762E-2</v>
      </c>
      <c r="K18" s="361">
        <f>IF(ISNUMBER((Tasas!E18-Datos!BG18)/Datos!BG18),(Tasas!E18-Datos!BG18)/Datos!BG18," - ")</f>
        <v>-1.1304294403145615E-2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-2.4032042723631509E-2</v>
      </c>
      <c r="E19" s="366">
        <f>IF(ISNUMBER(
   IF(J_V="SI",(Datos!J19-Datos!T19)/Datos!T19,(Datos!J19+Datos!Z19-(Datos!T19+Datos!AH19))/(Datos!T19+Datos!AH19))
     ),IF(J_V="SI",(Datos!J19-Datos!T19)/Datos!T19,(Datos!J19+Datos!Z19-(Datos!T19+Datos!AH19))/(Datos!T19+Datos!AH19))," - ")</f>
        <v>2.620967741935484E-2</v>
      </c>
      <c r="F19" s="366">
        <f>IF(ISNUMBER(
   IF(J_V="SI",(Datos!K19-Datos!U19)/Datos!U19,(Datos!K19+Datos!AA19-(Datos!U19+Datos!AI19))/(Datos!U19+Datos!AI19))
     ),IF(J_V="SI",(Datos!K19-Datos!U19)/Datos!U19,(Datos!K19+Datos!AA19-(Datos!U19+Datos!AI19))/(Datos!U19+Datos!AI19))," - ")</f>
        <v>-0.20198019801980199</v>
      </c>
      <c r="G19" s="367">
        <f>IF(ISNUMBER(
   IF(J_V="SI",(Datos!L19-Datos!V19)/Datos!V19,(Datos!L19+Datos!AB19-(Datos!V19+Datos!AJ19))/(Datos!V19+Datos!AJ19))
     ),IF(J_V="SI",(Datos!L19-Datos!V19)/Datos!V19,(Datos!L19+Datos!AB19-(Datos!V19+Datos!AJ19))/(Datos!V19+Datos!AJ19))," - ")</f>
        <v>0.58301886792452828</v>
      </c>
      <c r="H19" s="368">
        <f>IF(ISNUMBER((Datos!M19-Datos!W19)/Datos!W19),(Datos!M19-Datos!W19)/Datos!W19," - ")</f>
        <v>-9.7826086956521743E-2</v>
      </c>
      <c r="I19" s="365">
        <f>IF(ISNUMBER((Tasas!C19-Datos!BE19)/Datos!BE19),(Tasas!C19-Datos!BE19)/Datos!BE19," - ")</f>
        <v>0.98368369305679093</v>
      </c>
      <c r="J19" s="366">
        <f>IF(ISNUMBER((Tasas!D19-Datos!BF19)/Datos!BF19),(Tasas!D19-Datos!BF19)/Datos!BF19," - ")</f>
        <v>-0.39880090075876024</v>
      </c>
      <c r="K19" s="367">
        <f>IF(ISNUMBER((Tasas!E19-Datos!BG19)/Datos!BG19),(Tasas!E19-Datos!BG19)/Datos!BG19," - ")</f>
        <v>0.24806919987642886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1.1421726164484347</v>
      </c>
      <c r="E21" s="281">
        <f t="shared" si="1"/>
        <v>0.25084429452577223</v>
      </c>
      <c r="F21" s="281">
        <f t="shared" si="1"/>
        <v>3.5440054706792532</v>
      </c>
      <c r="G21" s="282">
        <f t="shared" si="1"/>
        <v>0.37115097549315718</v>
      </c>
      <c r="H21" s="288">
        <f t="shared" si="1"/>
        <v>2.7425662737440581</v>
      </c>
      <c r="I21" s="280">
        <f t="shared" si="1"/>
        <v>1.0392534553171606</v>
      </c>
      <c r="J21" s="281">
        <f t="shared" si="1"/>
        <v>0.20948129407037047</v>
      </c>
      <c r="K21" s="282">
        <f t="shared" si="1"/>
        <v>0.55054959399893399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qv1M0B2i6KOIokN1ZOU8RaAwWxQa5NS74X33puJ88XNkz4XKMYvK9dCYyhg4qzpaut27MqjCu0Uzd+Pmu3Zrw==" saltValue="l2kg82setz/EbvEFnJ5Y6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